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</sheets>
  <externalReferences>
    <externalReference r:id="rId4"/>
    <externalReference r:id="rId5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<sst xmlns="http://schemas.openxmlformats.org/spreadsheetml/2006/main" count="526" uniqueCount="125">
  <si>
    <t>Share</t>
  </si>
  <si>
    <t>Prop-</t>
  </si>
  <si>
    <t>Short Name</t>
  </si>
  <si>
    <t>Code</t>
  </si>
  <si>
    <t>ortion</t>
  </si>
  <si>
    <t>BTI</t>
  </si>
  <si>
    <t>Bidcorp</t>
  </si>
  <si>
    <t>BID</t>
  </si>
  <si>
    <t>Mediclinic</t>
  </si>
  <si>
    <t>MEI</t>
  </si>
  <si>
    <t>Naspers</t>
  </si>
  <si>
    <t>NPN</t>
  </si>
  <si>
    <t>Steinhoff</t>
  </si>
  <si>
    <t>SNH</t>
  </si>
  <si>
    <t>Sasol</t>
  </si>
  <si>
    <t>SOL</t>
  </si>
  <si>
    <t>Aspen</t>
  </si>
  <si>
    <t>APN</t>
  </si>
  <si>
    <t>JSE</t>
  </si>
  <si>
    <t>DSY</t>
  </si>
  <si>
    <t>WHL</t>
  </si>
  <si>
    <t>PSG</t>
  </si>
  <si>
    <t>Richmont</t>
  </si>
  <si>
    <t>CFR</t>
  </si>
  <si>
    <t>AVI</t>
  </si>
  <si>
    <t>BATS</t>
  </si>
  <si>
    <t>Clicks</t>
  </si>
  <si>
    <t>CLS</t>
  </si>
  <si>
    <t>Capitec</t>
  </si>
  <si>
    <t>CPI</t>
  </si>
  <si>
    <t>Discovery</t>
  </si>
  <si>
    <t>EOH</t>
  </si>
  <si>
    <t>Fambrands</t>
  </si>
  <si>
    <t>FBR</t>
  </si>
  <si>
    <t>Shoprite</t>
  </si>
  <si>
    <t>SHP</t>
  </si>
  <si>
    <t>Sanlam</t>
  </si>
  <si>
    <t>SLM</t>
  </si>
  <si>
    <t>TBS</t>
  </si>
  <si>
    <t>Woolworths</t>
  </si>
  <si>
    <t>Firstrand</t>
  </si>
  <si>
    <t>FSR</t>
  </si>
  <si>
    <t>Mondi Ltd</t>
  </si>
  <si>
    <t>MND</t>
  </si>
  <si>
    <t>RES</t>
  </si>
  <si>
    <t>Vodacom</t>
  </si>
  <si>
    <t>VOD</t>
  </si>
  <si>
    <t>PSG Group</t>
  </si>
  <si>
    <t>Tiger Brands</t>
  </si>
  <si>
    <t>tor</t>
  </si>
  <si>
    <t>tum</t>
  </si>
  <si>
    <t>Cost</t>
  </si>
  <si>
    <t>Price</t>
  </si>
  <si>
    <t>No.</t>
  </si>
  <si>
    <t>Value</t>
  </si>
  <si>
    <t>Gain</t>
  </si>
  <si>
    <t>Indi</t>
  </si>
  <si>
    <t>Fini</t>
  </si>
  <si>
    <t>Resi</t>
  </si>
  <si>
    <t>Total</t>
  </si>
  <si>
    <t>Sec-</t>
  </si>
  <si>
    <t>Stra-</t>
  </si>
  <si>
    <t>Cum</t>
  </si>
  <si>
    <t>p.a.</t>
  </si>
  <si>
    <t>Sector</t>
  </si>
  <si>
    <t>Market Prop</t>
  </si>
  <si>
    <t>Market Gain</t>
  </si>
  <si>
    <t>My Prop</t>
  </si>
  <si>
    <t>C</t>
  </si>
  <si>
    <t>Rank</t>
  </si>
  <si>
    <t>Participants</t>
  </si>
  <si>
    <t>Gen</t>
  </si>
  <si>
    <t>Cum Gain</t>
  </si>
  <si>
    <t>p.a. Gain</t>
  </si>
  <si>
    <t>Alpha</t>
  </si>
  <si>
    <t>F</t>
  </si>
  <si>
    <t>M</t>
  </si>
  <si>
    <t>Alsi</t>
  </si>
  <si>
    <t>Positive alphas</t>
  </si>
  <si>
    <t>Negative alphas</t>
  </si>
  <si>
    <t>Total participants</t>
  </si>
  <si>
    <t>Highest cumulative gain</t>
  </si>
  <si>
    <t>Lowest cumulative gain</t>
  </si>
  <si>
    <t>Market cumulative gain</t>
  </si>
  <si>
    <t>Average Alpha</t>
  </si>
  <si>
    <t>Number of males</t>
  </si>
  <si>
    <t>Number of females</t>
  </si>
  <si>
    <t>Male average gain</t>
  </si>
  <si>
    <t>Female average gain</t>
  </si>
  <si>
    <t>Paper Portfolio 03 - 31 May 2017</t>
  </si>
  <si>
    <t>Anshun Roos (F)</t>
  </si>
  <si>
    <t>Bidvest</t>
  </si>
  <si>
    <t>BVT</t>
  </si>
  <si>
    <t>RMB</t>
  </si>
  <si>
    <t>RMH</t>
  </si>
  <si>
    <t>Christo Linde (M)</t>
  </si>
  <si>
    <t>Richemont</t>
  </si>
  <si>
    <t>Mondi plc</t>
  </si>
  <si>
    <t>Elizabeth Jacobsz (F)</t>
  </si>
  <si>
    <t>Henry van Noort (M)</t>
  </si>
  <si>
    <t>Mondi</t>
  </si>
  <si>
    <t>Reinert</t>
  </si>
  <si>
    <t>Resillient</t>
  </si>
  <si>
    <t>Sappi</t>
  </si>
  <si>
    <t>SAP</t>
  </si>
  <si>
    <t>Libby Devenish (F)</t>
  </si>
  <si>
    <t>Marie Verster (F)</t>
  </si>
  <si>
    <t xml:space="preserve">A V I </t>
  </si>
  <si>
    <t>Tigerbrands</t>
  </si>
  <si>
    <t>Roxie Naicker (F)</t>
  </si>
  <si>
    <t xml:space="preserve">AVI </t>
  </si>
  <si>
    <t xml:space="preserve">BATS </t>
  </si>
  <si>
    <t xml:space="preserve">Richmont </t>
  </si>
  <si>
    <t xml:space="preserve">Clicks </t>
  </si>
  <si>
    <t xml:space="preserve">Capitec </t>
  </si>
  <si>
    <t xml:space="preserve">Discovery </t>
  </si>
  <si>
    <t xml:space="preserve">EOH </t>
  </si>
  <si>
    <t xml:space="preserve">Famous Brands </t>
  </si>
  <si>
    <t xml:space="preserve">RMB </t>
  </si>
  <si>
    <t xml:space="preserve">Shoprite </t>
  </si>
  <si>
    <t xml:space="preserve">Sanlam </t>
  </si>
  <si>
    <t xml:space="preserve">Tiger Brands </t>
  </si>
  <si>
    <t xml:space="preserve">Vodacom </t>
  </si>
  <si>
    <t>MeB 3</t>
  </si>
  <si>
    <t>RNI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</si>
</sst>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d\-mmm\-yy;@"/>
    <numFmt numFmtId="173" formatCode="0.0%"/>
    <numFmt numFmtId="174" formatCode="###\ ###\ ###\ ##0"/>
    <numFmt numFmtId="175" formatCode="###\ ###\ ##0"/>
    <numFmt numFmtId="176" formatCode="0.00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8"/>
      <color indexed="1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6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58" applyFont="1" applyFill="1" applyBorder="1" applyAlignment="1" applyProtection="1">
      <alignment horizontal="center"/>
      <protection/>
    </xf>
    <xf numFmtId="172" fontId="2" fillId="33" borderId="12" xfId="58" applyNumberFormat="1" applyFont="1" applyFill="1" applyBorder="1" applyAlignment="1" applyProtection="1">
      <alignment horizontal="left"/>
      <protection/>
    </xf>
    <xf numFmtId="172" fontId="2" fillId="33" borderId="12" xfId="58" applyNumberFormat="1" applyFont="1" applyFill="1" applyBorder="1" applyAlignment="1" applyProtection="1">
      <alignment horizontal="center"/>
      <protection/>
    </xf>
    <xf numFmtId="0" fontId="2" fillId="33" borderId="13" xfId="58" applyFont="1" applyFill="1" applyBorder="1" applyAlignment="1" applyProtection="1">
      <alignment horizontal="center"/>
      <protection/>
    </xf>
    <xf numFmtId="0" fontId="4" fillId="34" borderId="14" xfId="58" applyFont="1" applyFill="1" applyBorder="1" applyProtection="1">
      <alignment/>
      <protection locked="0"/>
    </xf>
    <xf numFmtId="0" fontId="4" fillId="35" borderId="14" xfId="58" applyFont="1" applyFill="1" applyBorder="1" applyAlignment="1" applyProtection="1">
      <alignment horizontal="center"/>
      <protection locked="0"/>
    </xf>
    <xf numFmtId="173" fontId="4" fillId="36" borderId="14" xfId="58" applyNumberFormat="1" applyFont="1" applyFill="1" applyBorder="1" applyProtection="1">
      <alignment/>
      <protection locked="0"/>
    </xf>
    <xf numFmtId="0" fontId="4" fillId="34" borderId="13" xfId="58" applyFont="1" applyFill="1" applyBorder="1" applyProtection="1">
      <alignment/>
      <protection locked="0"/>
    </xf>
    <xf numFmtId="0" fontId="4" fillId="35" borderId="13" xfId="58" applyFont="1" applyFill="1" applyBorder="1" applyAlignment="1" applyProtection="1">
      <alignment horizontal="center"/>
      <protection locked="0"/>
    </xf>
    <xf numFmtId="0" fontId="4" fillId="34" borderId="13" xfId="58" applyFont="1" applyFill="1" applyBorder="1" applyAlignment="1" applyProtection="1">
      <alignment horizontal="left"/>
      <protection locked="0"/>
    </xf>
    <xf numFmtId="0" fontId="2" fillId="34" borderId="10" xfId="58" applyFont="1" applyFill="1" applyBorder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173" fontId="4" fillId="37" borderId="10" xfId="58" applyNumberFormat="1" applyFont="1" applyFill="1" applyBorder="1" applyAlignment="1" applyProtection="1">
      <alignment horizontal="right"/>
      <protection/>
    </xf>
    <xf numFmtId="173" fontId="4" fillId="36" borderId="13" xfId="58" applyNumberFormat="1" applyFont="1" applyFill="1" applyBorder="1" applyProtection="1">
      <alignment/>
      <protection locked="0"/>
    </xf>
    <xf numFmtId="0" fontId="2" fillId="33" borderId="12" xfId="58" applyFont="1" applyFill="1" applyBorder="1" applyAlignment="1" applyProtection="1">
      <alignment horizontal="center"/>
      <protection/>
    </xf>
    <xf numFmtId="0" fontId="2" fillId="33" borderId="10" xfId="58" applyFont="1" applyFill="1" applyBorder="1" applyAlignment="1" applyProtection="1">
      <alignment horizontal="center"/>
      <protection/>
    </xf>
    <xf numFmtId="0" fontId="2" fillId="33" borderId="15" xfId="58" applyFont="1" applyFill="1" applyBorder="1" applyAlignment="1" applyProtection="1">
      <alignment horizontal="center"/>
      <protection/>
    </xf>
    <xf numFmtId="1" fontId="4" fillId="34" borderId="16" xfId="0" applyNumberFormat="1" applyFont="1" applyFill="1" applyBorder="1" applyAlignment="1" applyProtection="1">
      <alignment horizontal="center"/>
      <protection/>
    </xf>
    <xf numFmtId="9" fontId="4" fillId="37" borderId="14" xfId="0" applyNumberFormat="1" applyFont="1" applyFill="1" applyBorder="1" applyAlignment="1" applyProtection="1">
      <alignment/>
      <protection/>
    </xf>
    <xf numFmtId="173" fontId="4" fillId="37" borderId="17" xfId="0" applyNumberFormat="1" applyFont="1" applyFill="1" applyBorder="1" applyAlignment="1" applyProtection="1">
      <alignment/>
      <protection/>
    </xf>
    <xf numFmtId="9" fontId="4" fillId="37" borderId="17" xfId="0" applyNumberFormat="1" applyFont="1" applyFill="1" applyBorder="1" applyAlignment="1" applyProtection="1">
      <alignment/>
      <protection/>
    </xf>
    <xf numFmtId="173" fontId="4" fillId="37" borderId="14" xfId="0" applyNumberFormat="1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horizontal="center"/>
      <protection locked="0"/>
    </xf>
    <xf numFmtId="0" fontId="4" fillId="36" borderId="14" xfId="0" applyFont="1" applyFill="1" applyBorder="1" applyAlignment="1" applyProtection="1">
      <alignment horizontal="center"/>
      <protection locked="0"/>
    </xf>
    <xf numFmtId="174" fontId="4" fillId="37" borderId="18" xfId="58" applyNumberFormat="1" applyFont="1" applyFill="1" applyBorder="1" applyProtection="1">
      <alignment/>
      <protection/>
    </xf>
    <xf numFmtId="2" fontId="4" fillId="38" borderId="13" xfId="58" applyNumberFormat="1" applyFont="1" applyFill="1" applyBorder="1" applyProtection="1">
      <alignment/>
      <protection/>
    </xf>
    <xf numFmtId="175" fontId="4" fillId="39" borderId="14" xfId="58" applyNumberFormat="1" applyFont="1" applyFill="1" applyBorder="1" applyProtection="1">
      <alignment/>
      <protection/>
    </xf>
    <xf numFmtId="174" fontId="4" fillId="37" borderId="14" xfId="58" applyNumberFormat="1" applyFont="1" applyFill="1" applyBorder="1" applyProtection="1">
      <alignment/>
      <protection/>
    </xf>
    <xf numFmtId="1" fontId="4" fillId="36" borderId="18" xfId="58" applyNumberFormat="1" applyFont="1" applyFill="1" applyBorder="1" applyProtection="1">
      <alignment/>
      <protection locked="0"/>
    </xf>
    <xf numFmtId="173" fontId="4" fillId="37" borderId="13" xfId="0" applyNumberFormat="1" applyFont="1" applyFill="1" applyBorder="1" applyAlignment="1" applyProtection="1">
      <alignment horizontal="right"/>
      <protection/>
    </xf>
    <xf numFmtId="1" fontId="4" fillId="34" borderId="17" xfId="0" applyNumberFormat="1" applyFont="1" applyFill="1" applyBorder="1" applyAlignment="1" applyProtection="1">
      <alignment horizontal="center"/>
      <protection/>
    </xf>
    <xf numFmtId="9" fontId="4" fillId="37" borderId="13" xfId="0" applyNumberFormat="1" applyFont="1" applyFill="1" applyBorder="1" applyAlignment="1" applyProtection="1">
      <alignment/>
      <protection/>
    </xf>
    <xf numFmtId="173" fontId="4" fillId="37" borderId="13" xfId="0" applyNumberFormat="1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 horizontal="center"/>
      <protection locked="0"/>
    </xf>
    <xf numFmtId="0" fontId="4" fillId="36" borderId="13" xfId="0" applyFont="1" applyFill="1" applyBorder="1" applyAlignment="1" applyProtection="1">
      <alignment horizontal="center"/>
      <protection locked="0"/>
    </xf>
    <xf numFmtId="175" fontId="4" fillId="39" borderId="13" xfId="58" applyNumberFormat="1" applyFont="1" applyFill="1" applyBorder="1" applyProtection="1">
      <alignment/>
      <protection/>
    </xf>
    <xf numFmtId="174" fontId="4" fillId="37" borderId="13" xfId="58" applyNumberFormat="1" applyFont="1" applyFill="1" applyBorder="1" applyProtection="1">
      <alignment/>
      <protection/>
    </xf>
    <xf numFmtId="9" fontId="4" fillId="37" borderId="12" xfId="0" applyNumberFormat="1" applyFont="1" applyFill="1" applyBorder="1" applyAlignment="1" applyProtection="1">
      <alignment/>
      <protection/>
    </xf>
    <xf numFmtId="173" fontId="4" fillId="37" borderId="12" xfId="0" applyNumberFormat="1" applyFont="1" applyFill="1" applyBorder="1" applyAlignment="1" applyProtection="1">
      <alignment/>
      <protection/>
    </xf>
    <xf numFmtId="1" fontId="4" fillId="34" borderId="10" xfId="0" applyNumberFormat="1" applyFont="1" applyFill="1" applyBorder="1" applyAlignment="1" applyProtection="1">
      <alignment horizontal="center"/>
      <protection/>
    </xf>
    <xf numFmtId="173" fontId="4" fillId="37" borderId="15" xfId="0" applyNumberFormat="1" applyFont="1" applyFill="1" applyBorder="1" applyAlignment="1" applyProtection="1">
      <alignment/>
      <protection/>
    </xf>
    <xf numFmtId="9" fontId="4" fillId="37" borderId="15" xfId="0" applyNumberFormat="1" applyFont="1" applyFill="1" applyBorder="1" applyAlignment="1" applyProtection="1">
      <alignment/>
      <protection/>
    </xf>
    <xf numFmtId="173" fontId="4" fillId="37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36" borderId="19" xfId="0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locked="0"/>
    </xf>
    <xf numFmtId="0" fontId="2" fillId="34" borderId="19" xfId="58" applyFont="1" applyFill="1" applyBorder="1" applyAlignment="1" applyProtection="1">
      <alignment horizontal="center"/>
      <protection/>
    </xf>
    <xf numFmtId="174" fontId="4" fillId="37" borderId="10" xfId="58" applyNumberFormat="1" applyFont="1" applyFill="1" applyBorder="1" applyAlignment="1" applyProtection="1">
      <alignment horizontal="right"/>
      <protection locked="0"/>
    </xf>
    <xf numFmtId="0" fontId="4" fillId="34" borderId="20" xfId="0" applyFont="1" applyFill="1" applyBorder="1" applyAlignment="1" applyProtection="1">
      <alignment/>
      <protection/>
    </xf>
    <xf numFmtId="174" fontId="4" fillId="37" borderId="10" xfId="58" applyNumberFormat="1" applyFont="1" applyFill="1" applyBorder="1" applyAlignment="1" applyProtection="1">
      <alignment horizontal="right"/>
      <protection/>
    </xf>
    <xf numFmtId="1" fontId="4" fillId="37" borderId="10" xfId="58" applyNumberFormat="1" applyFont="1" applyFill="1" applyBorder="1" applyAlignment="1" applyProtection="1">
      <alignment horizontal="right"/>
      <protection/>
    </xf>
    <xf numFmtId="173" fontId="4" fillId="37" borderId="10" xfId="0" applyNumberFormat="1" applyFont="1" applyFill="1" applyBorder="1" applyAlignment="1" applyProtection="1">
      <alignment horizontal="right"/>
      <protection/>
    </xf>
    <xf numFmtId="0" fontId="2" fillId="33" borderId="14" xfId="58" applyFont="1" applyFill="1" applyBorder="1" applyAlignment="1" applyProtection="1">
      <alignment horizontal="center"/>
      <protection/>
    </xf>
    <xf numFmtId="15" fontId="2" fillId="33" borderId="10" xfId="0" applyNumberFormat="1" applyFont="1" applyFill="1" applyBorder="1" applyAlignment="1">
      <alignment horizontal="center"/>
    </xf>
    <xf numFmtId="1" fontId="2" fillId="33" borderId="14" xfId="58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" fontId="2" fillId="37" borderId="14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4" fillId="34" borderId="10" xfId="57" applyNumberFormat="1" applyFont="1" applyFill="1" applyBorder="1">
      <alignment/>
      <protection/>
    </xf>
    <xf numFmtId="1" fontId="6" fillId="36" borderId="10" xfId="0" applyNumberFormat="1" applyFont="1" applyFill="1" applyBorder="1" applyAlignment="1">
      <alignment horizontal="center"/>
    </xf>
    <xf numFmtId="0" fontId="4" fillId="34" borderId="16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center"/>
      <protection/>
    </xf>
    <xf numFmtId="173" fontId="6" fillId="36" borderId="14" xfId="0" applyNumberFormat="1" applyFont="1" applyFill="1" applyBorder="1" applyAlignment="1" applyProtection="1">
      <alignment/>
      <protection/>
    </xf>
    <xf numFmtId="0" fontId="4" fillId="34" borderId="14" xfId="0" applyFont="1" applyFill="1" applyBorder="1" applyAlignment="1">
      <alignment/>
    </xf>
    <xf numFmtId="1" fontId="4" fillId="39" borderId="16" xfId="58" applyNumberFormat="1" applyFont="1" applyFill="1" applyBorder="1" applyProtection="1">
      <alignment/>
      <protection locked="0"/>
    </xf>
    <xf numFmtId="0" fontId="4" fillId="34" borderId="17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>
      <alignment/>
    </xf>
    <xf numFmtId="1" fontId="4" fillId="39" borderId="17" xfId="58" applyNumberFormat="1" applyFont="1" applyFill="1" applyBorder="1" applyProtection="1">
      <alignment/>
      <protection locked="0"/>
    </xf>
    <xf numFmtId="0" fontId="4" fillId="34" borderId="0" xfId="0" applyFont="1" applyFill="1" applyBorder="1" applyAlignment="1" applyProtection="1">
      <alignment horizontal="left"/>
      <protection/>
    </xf>
    <xf numFmtId="1" fontId="4" fillId="39" borderId="19" xfId="58" applyNumberFormat="1" applyFont="1" applyFill="1" applyBorder="1" applyProtection="1">
      <alignment/>
      <protection locked="0"/>
    </xf>
    <xf numFmtId="0" fontId="4" fillId="34" borderId="10" xfId="0" applyFont="1" applyFill="1" applyBorder="1" applyAlignment="1">
      <alignment/>
    </xf>
    <xf numFmtId="1" fontId="4" fillId="37" borderId="10" xfId="55" applyNumberFormat="1" applyFont="1" applyFill="1" applyBorder="1" applyProtection="1">
      <alignment/>
      <protection locked="0"/>
    </xf>
    <xf numFmtId="173" fontId="6" fillId="36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" fontId="8" fillId="36" borderId="11" xfId="0" applyNumberFormat="1" applyFont="1" applyFill="1" applyBorder="1" applyAlignment="1">
      <alignment horizontal="right"/>
    </xf>
    <xf numFmtId="9" fontId="8" fillId="36" borderId="14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" fontId="8" fillId="36" borderId="18" xfId="0" applyNumberFormat="1" applyFont="1" applyFill="1" applyBorder="1" applyAlignment="1">
      <alignment horizontal="right"/>
    </xf>
    <xf numFmtId="9" fontId="8" fillId="36" borderId="12" xfId="0" applyNumberFormat="1" applyFont="1" applyFill="1" applyBorder="1" applyAlignment="1">
      <alignment horizontal="right"/>
    </xf>
    <xf numFmtId="1" fontId="8" fillId="36" borderId="21" xfId="0" applyNumberFormat="1" applyFont="1" applyFill="1" applyBorder="1" applyAlignment="1">
      <alignment horizontal="right"/>
    </xf>
    <xf numFmtId="9" fontId="8" fillId="36" borderId="10" xfId="0" applyNumberFormat="1" applyFont="1" applyFill="1" applyBorder="1" applyAlignment="1">
      <alignment horizontal="right"/>
    </xf>
    <xf numFmtId="173" fontId="8" fillId="36" borderId="22" xfId="0" applyNumberFormat="1" applyFont="1" applyFill="1" applyBorder="1" applyAlignment="1">
      <alignment horizontal="right"/>
    </xf>
    <xf numFmtId="173" fontId="8" fillId="36" borderId="14" xfId="0" applyNumberFormat="1" applyFont="1" applyFill="1" applyBorder="1" applyAlignment="1">
      <alignment horizontal="right"/>
    </xf>
    <xf numFmtId="173" fontId="8" fillId="36" borderId="0" xfId="0" applyNumberFormat="1" applyFont="1" applyFill="1" applyBorder="1" applyAlignment="1">
      <alignment horizontal="right"/>
    </xf>
    <xf numFmtId="173" fontId="8" fillId="36" borderId="13" xfId="0" applyNumberFormat="1" applyFont="1" applyFill="1" applyBorder="1" applyAlignment="1">
      <alignment horizontal="right"/>
    </xf>
    <xf numFmtId="173" fontId="8" fillId="36" borderId="16" xfId="0" applyNumberFormat="1" applyFont="1" applyFill="1" applyBorder="1" applyAlignment="1">
      <alignment horizontal="right"/>
    </xf>
    <xf numFmtId="1" fontId="8" fillId="36" borderId="14" xfId="0" applyNumberFormat="1" applyFont="1" applyFill="1" applyBorder="1" applyAlignment="1">
      <alignment horizontal="right"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center"/>
      <protection/>
    </xf>
    <xf numFmtId="173" fontId="8" fillId="36" borderId="19" xfId="0" applyNumberFormat="1" applyFont="1" applyFill="1" applyBorder="1" applyAlignment="1">
      <alignment horizontal="right"/>
    </xf>
    <xf numFmtId="1" fontId="8" fillId="36" borderId="12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34" borderId="1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173" fontId="8" fillId="36" borderId="24" xfId="0" applyNumberFormat="1" applyFont="1" applyFill="1" applyBorder="1" applyAlignment="1">
      <alignment horizontal="right"/>
    </xf>
    <xf numFmtId="173" fontId="8" fillId="36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173" fontId="6" fillId="36" borderId="12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173" fontId="6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173" fontId="4" fillId="38" borderId="14" xfId="56" applyNumberFormat="1" applyFont="1" applyFill="1" applyBorder="1" applyProtection="1">
      <alignment/>
      <protection/>
    </xf>
    <xf numFmtId="173" fontId="4" fillId="38" borderId="13" xfId="56" applyNumberFormat="1" applyFont="1" applyFill="1" applyBorder="1" applyProtection="1">
      <alignment/>
      <protection/>
    </xf>
    <xf numFmtId="173" fontId="4" fillId="38" borderId="12" xfId="56" applyNumberFormat="1" applyFont="1" applyFill="1" applyBorder="1" applyProtection="1">
      <alignment/>
      <protection/>
    </xf>
    <xf numFmtId="0" fontId="4" fillId="35" borderId="13" xfId="58" applyFont="1" applyFill="1" applyBorder="1" applyAlignment="1" applyProtection="1">
      <alignment horizontal="center" vertical="center"/>
      <protection locked="0"/>
    </xf>
    <xf numFmtId="172" fontId="2" fillId="33" borderId="10" xfId="58" applyNumberFormat="1" applyFont="1" applyFill="1" applyBorder="1" applyAlignment="1" applyProtection="1">
      <alignment horizontal="left"/>
      <protection/>
    </xf>
    <xf numFmtId="0" fontId="4" fillId="35" borderId="18" xfId="58" applyFont="1" applyFill="1" applyBorder="1" applyAlignment="1" applyProtection="1">
      <alignment horizontal="center"/>
      <protection locked="0"/>
    </xf>
    <xf numFmtId="0" fontId="4" fillId="34" borderId="12" xfId="58" applyFont="1" applyFill="1" applyBorder="1" applyProtection="1">
      <alignment/>
      <protection locked="0"/>
    </xf>
    <xf numFmtId="0" fontId="2" fillId="34" borderId="12" xfId="58" applyFont="1" applyFill="1" applyBorder="1" applyProtection="1">
      <alignment/>
      <protection/>
    </xf>
    <xf numFmtId="15" fontId="2" fillId="33" borderId="15" xfId="0" applyNumberFormat="1" applyFont="1" applyFill="1" applyBorder="1" applyAlignment="1" applyProtection="1">
      <alignment horizontal="center"/>
      <protection locked="0"/>
    </xf>
    <xf numFmtId="15" fontId="2" fillId="33" borderId="2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Indicies - Business Day" xfId="57"/>
    <cellStyle name="Normal_Investment Portfoli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7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%20Codes%20sectors%20str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%20Passive%20Wealth%20Buil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 Sectors Stata"/>
    </sheetNames>
    <sheetDataSet>
      <sheetData sheetId="0">
        <row r="1">
          <cell r="C1" t="str">
            <v>ACL</v>
          </cell>
          <cell r="D1" t="str">
            <v>C</v>
          </cell>
          <cell r="E1" t="str">
            <v>Resi</v>
          </cell>
        </row>
        <row r="2">
          <cell r="C2" t="str">
            <v>AEG</v>
          </cell>
          <cell r="D2" t="str">
            <v>C</v>
          </cell>
          <cell r="E2" t="str">
            <v>Indi</v>
          </cell>
        </row>
        <row r="3">
          <cell r="C3" t="str">
            <v>AFE</v>
          </cell>
          <cell r="D3" t="str">
            <v>C</v>
          </cell>
          <cell r="E3" t="str">
            <v>Resi</v>
          </cell>
        </row>
        <row r="4">
          <cell r="C4" t="str">
            <v>AFX</v>
          </cell>
          <cell r="D4" t="str">
            <v>C</v>
          </cell>
          <cell r="E4" t="str">
            <v>Resi</v>
          </cell>
        </row>
        <row r="5">
          <cell r="C5" t="str">
            <v>AGL</v>
          </cell>
          <cell r="D5" t="str">
            <v>A</v>
          </cell>
          <cell r="E5" t="str">
            <v>Resi</v>
          </cell>
        </row>
        <row r="6">
          <cell r="C6" t="str">
            <v>AMS</v>
          </cell>
          <cell r="D6" t="str">
            <v>C</v>
          </cell>
          <cell r="E6" t="str">
            <v>Resi</v>
          </cell>
        </row>
        <row r="7">
          <cell r="C7" t="str">
            <v>ANG</v>
          </cell>
          <cell r="D7" t="str">
            <v>B</v>
          </cell>
          <cell r="E7" t="str">
            <v>Resi</v>
          </cell>
        </row>
        <row r="8">
          <cell r="C8" t="str">
            <v>APN</v>
          </cell>
          <cell r="D8" t="str">
            <v>B</v>
          </cell>
          <cell r="E8" t="str">
            <v>Indi</v>
          </cell>
        </row>
        <row r="9">
          <cell r="C9" t="str">
            <v>ARL</v>
          </cell>
          <cell r="D9" t="str">
            <v>C</v>
          </cell>
          <cell r="E9" t="str">
            <v>Indi</v>
          </cell>
        </row>
        <row r="10">
          <cell r="C10" t="str">
            <v>ASR</v>
          </cell>
          <cell r="D10" t="str">
            <v>C</v>
          </cell>
          <cell r="E10" t="str">
            <v>Resi</v>
          </cell>
        </row>
        <row r="11">
          <cell r="C11" t="str">
            <v>AVI</v>
          </cell>
          <cell r="D11" t="str">
            <v>C</v>
          </cell>
          <cell r="E11" t="str">
            <v>Indi</v>
          </cell>
        </row>
        <row r="12">
          <cell r="C12" t="str">
            <v>BAT</v>
          </cell>
          <cell r="D12" t="str">
            <v>B</v>
          </cell>
          <cell r="E12" t="str">
            <v>Fini</v>
          </cell>
        </row>
        <row r="13">
          <cell r="C13" t="str">
            <v>BAW</v>
          </cell>
          <cell r="D13" t="str">
            <v>C</v>
          </cell>
          <cell r="E13" t="str">
            <v>Indi</v>
          </cell>
        </row>
        <row r="14">
          <cell r="C14" t="str">
            <v>BGA</v>
          </cell>
          <cell r="D14" t="str">
            <v>B</v>
          </cell>
          <cell r="E14" t="str">
            <v>Fini</v>
          </cell>
        </row>
        <row r="15">
          <cell r="C15" t="str">
            <v>BID</v>
          </cell>
          <cell r="D15" t="str">
            <v>B</v>
          </cell>
          <cell r="E15" t="str">
            <v>Indi</v>
          </cell>
        </row>
        <row r="16">
          <cell r="C16" t="str">
            <v>BIL</v>
          </cell>
          <cell r="D16" t="str">
            <v>A</v>
          </cell>
          <cell r="E16" t="str">
            <v>Resi</v>
          </cell>
        </row>
        <row r="17">
          <cell r="C17" t="str">
            <v>BTI</v>
          </cell>
          <cell r="D17" t="str">
            <v>A</v>
          </cell>
          <cell r="E17" t="str">
            <v>Indi</v>
          </cell>
        </row>
        <row r="18">
          <cell r="C18" t="str">
            <v>BVT</v>
          </cell>
          <cell r="D18" t="str">
            <v>B</v>
          </cell>
          <cell r="E18" t="str">
            <v>Indi</v>
          </cell>
        </row>
        <row r="19">
          <cell r="C19" t="str">
            <v>CCO</v>
          </cell>
          <cell r="D19" t="str">
            <v>C</v>
          </cell>
          <cell r="E19" t="str">
            <v>Fini</v>
          </cell>
        </row>
        <row r="20">
          <cell r="C20" t="str">
            <v>CFR</v>
          </cell>
          <cell r="D20" t="str">
            <v>A</v>
          </cell>
          <cell r="E20" t="str">
            <v>Indi</v>
          </cell>
        </row>
        <row r="21">
          <cell r="C21" t="str">
            <v>CLS</v>
          </cell>
          <cell r="D21" t="str">
            <v>B</v>
          </cell>
          <cell r="E21" t="str">
            <v>Indi</v>
          </cell>
        </row>
        <row r="22">
          <cell r="C22" t="str">
            <v>CML</v>
          </cell>
          <cell r="D22" t="str">
            <v>C</v>
          </cell>
          <cell r="E22" t="str">
            <v>Fini</v>
          </cell>
        </row>
        <row r="23">
          <cell r="C23" t="str">
            <v>COH</v>
          </cell>
          <cell r="D23" t="str">
            <v>C</v>
          </cell>
          <cell r="E23" t="str">
            <v>Indi</v>
          </cell>
        </row>
        <row r="24">
          <cell r="C24" t="str">
            <v>CPI</v>
          </cell>
          <cell r="D24" t="str">
            <v>C</v>
          </cell>
          <cell r="E24" t="str">
            <v>Fini</v>
          </cell>
        </row>
        <row r="25">
          <cell r="C25" t="str">
            <v>DST</v>
          </cell>
          <cell r="D25" t="str">
            <v>C</v>
          </cell>
          <cell r="E25" t="str">
            <v>Indi</v>
          </cell>
        </row>
        <row r="26">
          <cell r="C26" t="str">
            <v>DSY</v>
          </cell>
          <cell r="D26" t="str">
            <v>B</v>
          </cell>
          <cell r="E26" t="str">
            <v>Fini</v>
          </cell>
        </row>
        <row r="27">
          <cell r="C27" t="str">
            <v>EOH</v>
          </cell>
          <cell r="D27" t="str">
            <v>C</v>
          </cell>
          <cell r="E27" t="str">
            <v>Indi</v>
          </cell>
        </row>
        <row r="28">
          <cell r="C28" t="str">
            <v>EXX</v>
          </cell>
          <cell r="D28" t="str">
            <v>C</v>
          </cell>
          <cell r="E28" t="str">
            <v>Resi</v>
          </cell>
        </row>
        <row r="29">
          <cell r="C29" t="str">
            <v>FBR</v>
          </cell>
          <cell r="D29" t="str">
            <v>C</v>
          </cell>
          <cell r="E29" t="str">
            <v>Indi</v>
          </cell>
        </row>
        <row r="30">
          <cell r="C30" t="str">
            <v>FFA</v>
          </cell>
          <cell r="D30" t="str">
            <v>B</v>
          </cell>
          <cell r="E30" t="str">
            <v>Fini</v>
          </cell>
        </row>
        <row r="31">
          <cell r="C31" t="str">
            <v>FFB</v>
          </cell>
          <cell r="D31" t="str">
            <v>B</v>
          </cell>
          <cell r="E31" t="str">
            <v>Fini</v>
          </cell>
        </row>
        <row r="32">
          <cell r="C32" t="str">
            <v>FSR</v>
          </cell>
          <cell r="D32" t="str">
            <v>B</v>
          </cell>
          <cell r="E32" t="str">
            <v>Fini</v>
          </cell>
        </row>
        <row r="33">
          <cell r="C33" t="str">
            <v>GFI</v>
          </cell>
          <cell r="D33" t="str">
            <v>B</v>
          </cell>
          <cell r="E33" t="str">
            <v>Resi</v>
          </cell>
        </row>
        <row r="34">
          <cell r="C34" t="str">
            <v>GLN</v>
          </cell>
          <cell r="D34" t="str">
            <v>C</v>
          </cell>
          <cell r="E34" t="str">
            <v>Resi</v>
          </cell>
        </row>
        <row r="35">
          <cell r="C35" t="str">
            <v>GRT</v>
          </cell>
          <cell r="D35" t="str">
            <v>B</v>
          </cell>
          <cell r="E35" t="str">
            <v>Fini</v>
          </cell>
        </row>
        <row r="36">
          <cell r="C36" t="str">
            <v>HAR</v>
          </cell>
          <cell r="D36" t="str">
            <v>C</v>
          </cell>
          <cell r="E36" t="str">
            <v>Resi</v>
          </cell>
        </row>
        <row r="37">
          <cell r="C37" t="str">
            <v>HYP</v>
          </cell>
          <cell r="D37" t="str">
            <v>C</v>
          </cell>
          <cell r="E37" t="str">
            <v>Fini</v>
          </cell>
        </row>
        <row r="38">
          <cell r="C38" t="str">
            <v>IMP</v>
          </cell>
          <cell r="D38" t="str">
            <v>B</v>
          </cell>
          <cell r="E38" t="str">
            <v>Resi</v>
          </cell>
        </row>
        <row r="39">
          <cell r="C39" t="str">
            <v>INL</v>
          </cell>
          <cell r="D39" t="str">
            <v>B</v>
          </cell>
          <cell r="E39" t="str">
            <v>Fini</v>
          </cell>
        </row>
        <row r="40">
          <cell r="C40" t="str">
            <v>INP</v>
          </cell>
          <cell r="D40" t="str">
            <v>B</v>
          </cell>
          <cell r="E40" t="str">
            <v>Fini</v>
          </cell>
        </row>
        <row r="41">
          <cell r="C41" t="str">
            <v>IPL</v>
          </cell>
          <cell r="D41" t="str">
            <v>C</v>
          </cell>
          <cell r="E41" t="str">
            <v>Indi</v>
          </cell>
        </row>
        <row r="42">
          <cell r="C42" t="str">
            <v>ITU</v>
          </cell>
          <cell r="D42" t="str">
            <v>B</v>
          </cell>
          <cell r="E42" t="str">
            <v>Fini</v>
          </cell>
        </row>
        <row r="43">
          <cell r="C43" t="str">
            <v>JSE</v>
          </cell>
          <cell r="D43" t="str">
            <v>C</v>
          </cell>
          <cell r="E43" t="str">
            <v>Fini</v>
          </cell>
        </row>
        <row r="44">
          <cell r="C44" t="str">
            <v>KIO</v>
          </cell>
          <cell r="D44" t="str">
            <v>C</v>
          </cell>
          <cell r="E44" t="str">
            <v>Resi</v>
          </cell>
        </row>
        <row r="45">
          <cell r="C45" t="str">
            <v>LBH</v>
          </cell>
          <cell r="D45" t="str">
            <v>C</v>
          </cell>
          <cell r="E45" t="str">
            <v>Fini</v>
          </cell>
        </row>
        <row r="46">
          <cell r="C46" t="str">
            <v>LHC</v>
          </cell>
          <cell r="D46" t="str">
            <v>B</v>
          </cell>
          <cell r="E46" t="str">
            <v>Indi</v>
          </cell>
        </row>
        <row r="47">
          <cell r="C47" t="str">
            <v>MEI</v>
          </cell>
          <cell r="D47" t="str">
            <v>B</v>
          </cell>
          <cell r="E47" t="str">
            <v>Indi</v>
          </cell>
        </row>
        <row r="48">
          <cell r="C48" t="str">
            <v>MMI</v>
          </cell>
          <cell r="D48" t="str">
            <v>C</v>
          </cell>
          <cell r="E48" t="str">
            <v>Fini</v>
          </cell>
        </row>
        <row r="49">
          <cell r="C49" t="str">
            <v>MND</v>
          </cell>
          <cell r="D49" t="str">
            <v>B</v>
          </cell>
          <cell r="E49" t="str">
            <v>Resi</v>
          </cell>
        </row>
        <row r="50">
          <cell r="C50" t="str">
            <v>MRP</v>
          </cell>
          <cell r="D50" t="str">
            <v>B</v>
          </cell>
          <cell r="E50" t="str">
            <v>Indi</v>
          </cell>
        </row>
        <row r="51">
          <cell r="C51" t="str">
            <v>MSM</v>
          </cell>
          <cell r="D51" t="str">
            <v>C</v>
          </cell>
          <cell r="E51" t="str">
            <v>Indi</v>
          </cell>
        </row>
        <row r="52">
          <cell r="C52" t="str">
            <v>MTN</v>
          </cell>
          <cell r="D52" t="str">
            <v>A</v>
          </cell>
          <cell r="E52" t="str">
            <v>Indi</v>
          </cell>
        </row>
        <row r="53">
          <cell r="C53" t="str">
            <v>MUR</v>
          </cell>
          <cell r="D53" t="str">
            <v>C</v>
          </cell>
          <cell r="E53" t="str">
            <v>Indi</v>
          </cell>
        </row>
        <row r="54">
          <cell r="C54" t="str">
            <v>NED</v>
          </cell>
          <cell r="D54" t="str">
            <v>B</v>
          </cell>
          <cell r="E54" t="str">
            <v>Fini</v>
          </cell>
        </row>
        <row r="55">
          <cell r="C55" t="str">
            <v>NPK</v>
          </cell>
          <cell r="D55" t="str">
            <v>C</v>
          </cell>
          <cell r="E55" t="str">
            <v>Indi</v>
          </cell>
        </row>
        <row r="56">
          <cell r="C56" t="str">
            <v>NPN</v>
          </cell>
          <cell r="D56" t="str">
            <v>A</v>
          </cell>
          <cell r="E56" t="str">
            <v>Indi</v>
          </cell>
        </row>
        <row r="57">
          <cell r="C57" t="str">
            <v>NTC</v>
          </cell>
          <cell r="D57" t="str">
            <v>B</v>
          </cell>
          <cell r="E57" t="str">
            <v>Indi</v>
          </cell>
        </row>
        <row r="58">
          <cell r="C58" t="str">
            <v>OML</v>
          </cell>
          <cell r="D58" t="str">
            <v>A</v>
          </cell>
          <cell r="E58" t="str">
            <v>Fini</v>
          </cell>
        </row>
        <row r="59">
          <cell r="C59" t="str">
            <v>OMN</v>
          </cell>
          <cell r="D59" t="str">
            <v>C</v>
          </cell>
          <cell r="E59" t="str">
            <v>Resi</v>
          </cell>
        </row>
        <row r="60">
          <cell r="C60" t="str">
            <v>PFG</v>
          </cell>
          <cell r="D60" t="str">
            <v>C</v>
          </cell>
          <cell r="E60" t="str">
            <v>Indi</v>
          </cell>
        </row>
        <row r="61">
          <cell r="C61" t="str">
            <v>PIK</v>
          </cell>
          <cell r="D61" t="str">
            <v>C</v>
          </cell>
          <cell r="E61" t="str">
            <v>Indi</v>
          </cell>
        </row>
        <row r="62">
          <cell r="C62" t="str">
            <v>PPC</v>
          </cell>
          <cell r="D62" t="str">
            <v>C</v>
          </cell>
          <cell r="E62" t="str">
            <v>Indi</v>
          </cell>
        </row>
        <row r="63">
          <cell r="C63" t="str">
            <v>PSG</v>
          </cell>
          <cell r="D63" t="str">
            <v>C</v>
          </cell>
          <cell r="E63" t="str">
            <v>Fini</v>
          </cell>
        </row>
        <row r="64">
          <cell r="C64" t="str">
            <v>RDF</v>
          </cell>
          <cell r="D64" t="str">
            <v>B</v>
          </cell>
          <cell r="E64" t="str">
            <v>Fini</v>
          </cell>
        </row>
        <row r="65">
          <cell r="C65" t="str">
            <v>RNI</v>
          </cell>
          <cell r="D65" t="str">
            <v>B</v>
          </cell>
          <cell r="E65" t="str">
            <v>Fini</v>
          </cell>
        </row>
        <row r="66">
          <cell r="C66" t="str">
            <v>REM</v>
          </cell>
          <cell r="D66" t="str">
            <v>B</v>
          </cell>
          <cell r="E66" t="str">
            <v>Indi</v>
          </cell>
        </row>
        <row r="67">
          <cell r="C67" t="str">
            <v>RES</v>
          </cell>
          <cell r="D67" t="str">
            <v>C</v>
          </cell>
          <cell r="E67" t="str">
            <v>Fini</v>
          </cell>
        </row>
        <row r="68">
          <cell r="C68" t="str">
            <v>RLO</v>
          </cell>
          <cell r="D68" t="str">
            <v>C</v>
          </cell>
          <cell r="E68" t="str">
            <v>Indi</v>
          </cell>
        </row>
        <row r="69">
          <cell r="C69" t="str">
            <v>RMH</v>
          </cell>
          <cell r="D69" t="str">
            <v>B</v>
          </cell>
          <cell r="E69" t="str">
            <v>Fini</v>
          </cell>
        </row>
        <row r="70">
          <cell r="C70" t="str">
            <v>RMI</v>
          </cell>
          <cell r="D70" t="str">
            <v>C</v>
          </cell>
          <cell r="E70" t="str">
            <v>Fini</v>
          </cell>
        </row>
        <row r="71">
          <cell r="C71" t="str">
            <v>S40</v>
          </cell>
          <cell r="D71" t="str">
            <v>C</v>
          </cell>
          <cell r="E71" t="str">
            <v>Fini</v>
          </cell>
        </row>
        <row r="72">
          <cell r="C72" t="str">
            <v>SAP</v>
          </cell>
          <cell r="D72" t="str">
            <v>C</v>
          </cell>
          <cell r="E72" t="str">
            <v>Resi</v>
          </cell>
        </row>
        <row r="73">
          <cell r="C73" t="str">
            <v>SBK</v>
          </cell>
          <cell r="D73" t="str">
            <v>A</v>
          </cell>
          <cell r="E73" t="str">
            <v>Fini</v>
          </cell>
        </row>
        <row r="74">
          <cell r="C74" t="str">
            <v>SGL</v>
          </cell>
          <cell r="D74" t="str">
            <v>B</v>
          </cell>
          <cell r="E74" t="str">
            <v>Resi</v>
          </cell>
        </row>
        <row r="75">
          <cell r="C75" t="str">
            <v>SHP</v>
          </cell>
          <cell r="D75" t="str">
            <v>B</v>
          </cell>
          <cell r="E75" t="str">
            <v>Indi</v>
          </cell>
        </row>
        <row r="76">
          <cell r="C76" t="str">
            <v>SLM</v>
          </cell>
          <cell r="D76" t="str">
            <v>B</v>
          </cell>
          <cell r="E76" t="str">
            <v>Fini</v>
          </cell>
        </row>
        <row r="77">
          <cell r="C77" t="str">
            <v>SNH</v>
          </cell>
          <cell r="D77" t="str">
            <v>A</v>
          </cell>
          <cell r="E77" t="str">
            <v>Indi</v>
          </cell>
        </row>
        <row r="78">
          <cell r="C78" t="str">
            <v>SOL</v>
          </cell>
          <cell r="D78" t="str">
            <v>A</v>
          </cell>
          <cell r="E78" t="str">
            <v>Resi</v>
          </cell>
        </row>
        <row r="79">
          <cell r="C79" t="str">
            <v>SPP</v>
          </cell>
          <cell r="D79" t="str">
            <v>C</v>
          </cell>
          <cell r="E79" t="str">
            <v>Indi</v>
          </cell>
        </row>
        <row r="80">
          <cell r="C80" t="str">
            <v>SSS</v>
          </cell>
          <cell r="D80" t="str">
            <v>C</v>
          </cell>
          <cell r="E80" t="str">
            <v>Indi</v>
          </cell>
        </row>
        <row r="81">
          <cell r="C81" t="str">
            <v>TBS</v>
          </cell>
          <cell r="D81" t="str">
            <v>B</v>
          </cell>
          <cell r="E81" t="str">
            <v>Indi</v>
          </cell>
        </row>
        <row r="82">
          <cell r="C82" t="str">
            <v>TON</v>
          </cell>
          <cell r="D82" t="str">
            <v>C</v>
          </cell>
          <cell r="E82" t="str">
            <v>Indi</v>
          </cell>
        </row>
        <row r="83">
          <cell r="C83" t="str">
            <v>TFG</v>
          </cell>
          <cell r="D83" t="str">
            <v>C</v>
          </cell>
          <cell r="E83" t="str">
            <v>Indi</v>
          </cell>
        </row>
        <row r="84">
          <cell r="C84" t="str">
            <v>TKG</v>
          </cell>
          <cell r="D84" t="str">
            <v>C</v>
          </cell>
          <cell r="E84" t="str">
            <v>Indi</v>
          </cell>
        </row>
        <row r="85">
          <cell r="C85" t="str">
            <v>TRU</v>
          </cell>
          <cell r="D85" t="str">
            <v>C</v>
          </cell>
          <cell r="E85" t="str">
            <v>Indi</v>
          </cell>
        </row>
        <row r="86">
          <cell r="C86" t="str">
            <v>VOD</v>
          </cell>
          <cell r="D86" t="str">
            <v>B</v>
          </cell>
          <cell r="E86" t="str">
            <v>Indi</v>
          </cell>
        </row>
        <row r="87">
          <cell r="C87" t="str">
            <v>WBO</v>
          </cell>
          <cell r="D87" t="str">
            <v>C</v>
          </cell>
          <cell r="E87" t="str">
            <v>Indi</v>
          </cell>
        </row>
        <row r="88">
          <cell r="C88" t="str">
            <v>WHL</v>
          </cell>
          <cell r="D88" t="str">
            <v>B</v>
          </cell>
          <cell r="E88" t="str">
            <v>Indi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Calculator"/>
      <sheetName val="Reinvest Risk"/>
      <sheetName val="Returns Lump Sum"/>
      <sheetName val="Returns 10 Years"/>
      <sheetName val="Returns Current Year"/>
      <sheetName val="Internal Rate of Return"/>
      <sheetName val="Living Annuity"/>
      <sheetName val="Game"/>
      <sheetName val="Core Shares"/>
      <sheetName val="Construction"/>
      <sheetName val="Reinvest"/>
      <sheetName val="Reality"/>
      <sheetName val="Val Mod"/>
      <sheetName val="Structure"/>
      <sheetName val="Returns"/>
      <sheetName val="Volatility"/>
      <sheetName val="VAR"/>
      <sheetName val="Annual"/>
      <sheetName val="Rolling"/>
      <sheetName val="Monthly"/>
      <sheetName val="Weekly"/>
      <sheetName val="Commodities"/>
      <sheetName val="Forex"/>
      <sheetName val="Interest"/>
      <sheetName val="Inflation"/>
      <sheetName val="Lists"/>
      <sheetName val="Details"/>
      <sheetName val="Paper Portfolios"/>
      <sheetName val="Hedgehog"/>
    </sheetNames>
    <sheetDataSet>
      <sheetData sheetId="1">
        <row r="4">
          <cell r="B4" t="str">
            <v>4SI</v>
          </cell>
          <cell r="C4">
            <v>170</v>
          </cell>
          <cell r="D4">
            <v>0</v>
          </cell>
          <cell r="E4">
            <v>0</v>
          </cell>
          <cell r="F4">
            <v>-0.1707317073170732</v>
          </cell>
        </row>
        <row r="5">
          <cell r="B5" t="str">
            <v>AXL</v>
          </cell>
          <cell r="C5">
            <v>61</v>
          </cell>
          <cell r="D5">
            <v>4.7</v>
          </cell>
          <cell r="E5">
            <v>0</v>
          </cell>
          <cell r="F5">
            <v>-0.06153846153846154</v>
          </cell>
        </row>
        <row r="6">
          <cell r="B6" t="str">
            <v>ACG</v>
          </cell>
          <cell r="C6">
            <v>379</v>
          </cell>
          <cell r="D6">
            <v>8.4</v>
          </cell>
          <cell r="E6">
            <v>0.039624999999999994</v>
          </cell>
          <cell r="F6">
            <v>-0.1082352941176471</v>
          </cell>
        </row>
        <row r="7">
          <cell r="B7" t="str">
            <v>ACL</v>
          </cell>
          <cell r="C7">
            <v>387</v>
          </cell>
          <cell r="D7">
            <v>-1.1</v>
          </cell>
          <cell r="E7">
            <v>0</v>
          </cell>
          <cell r="F7">
            <v>-0.26981132075471703</v>
          </cell>
        </row>
        <row r="8">
          <cell r="B8" t="str">
            <v>ACE</v>
          </cell>
          <cell r="C8">
            <v>67</v>
          </cell>
          <cell r="D8">
            <v>90.54</v>
          </cell>
          <cell r="E8">
            <v>0</v>
          </cell>
          <cell r="F8">
            <v>-0.06944444444444442</v>
          </cell>
        </row>
        <row r="9">
          <cell r="B9" t="str">
            <v>ACT</v>
          </cell>
          <cell r="C9">
            <v>640</v>
          </cell>
          <cell r="D9">
            <v>28.6</v>
          </cell>
          <cell r="E9">
            <v>0.0438</v>
          </cell>
          <cell r="F9">
            <v>-0.051851851851851816</v>
          </cell>
        </row>
        <row r="10">
          <cell r="B10" t="str">
            <v>ADH</v>
          </cell>
          <cell r="C10">
            <v>1685</v>
          </cell>
          <cell r="D10">
            <v>23</v>
          </cell>
          <cell r="E10">
            <v>0.02</v>
          </cell>
          <cell r="F10">
            <v>0.033742331288343586</v>
          </cell>
        </row>
        <row r="11">
          <cell r="B11" t="str">
            <v>ADI</v>
          </cell>
          <cell r="C11">
            <v>645</v>
          </cell>
          <cell r="D11">
            <v>11</v>
          </cell>
          <cell r="E11">
            <v>0.02125</v>
          </cell>
          <cell r="F11">
            <v>0.0015527950310558758</v>
          </cell>
        </row>
        <row r="12">
          <cell r="B12" t="str">
            <v>ADR</v>
          </cell>
          <cell r="C12">
            <v>1795</v>
          </cell>
          <cell r="D12">
            <v>-12.3</v>
          </cell>
          <cell r="E12">
            <v>0</v>
          </cell>
          <cell r="F12">
            <v>0.04299825682742586</v>
          </cell>
        </row>
        <row r="13">
          <cell r="B13" t="str">
            <v>ADW</v>
          </cell>
          <cell r="C13">
            <v>25</v>
          </cell>
          <cell r="D13">
            <v>-0.9</v>
          </cell>
          <cell r="E13">
            <v>0</v>
          </cell>
          <cell r="F13">
            <v>0</v>
          </cell>
        </row>
        <row r="14">
          <cell r="B14" t="str">
            <v>AEE</v>
          </cell>
          <cell r="C14">
            <v>660</v>
          </cell>
          <cell r="D14">
            <v>7</v>
          </cell>
          <cell r="E14">
            <v>0.011375</v>
          </cell>
          <cell r="F14">
            <v>0.13793103448275867</v>
          </cell>
        </row>
        <row r="15">
          <cell r="B15" t="str">
            <v>AEG</v>
          </cell>
          <cell r="C15">
            <v>200</v>
          </cell>
          <cell r="D15">
            <v>-0.12</v>
          </cell>
          <cell r="E15">
            <v>0</v>
          </cell>
          <cell r="F15">
            <v>-0.2063492063492064</v>
          </cell>
        </row>
        <row r="16">
          <cell r="B16" t="str">
            <v>AER</v>
          </cell>
          <cell r="F16">
            <v>0</v>
          </cell>
        </row>
        <row r="17">
          <cell r="B17" t="str">
            <v>AET</v>
          </cell>
          <cell r="F17">
            <v>0</v>
          </cell>
        </row>
        <row r="18">
          <cell r="B18" t="str">
            <v>AFE</v>
          </cell>
          <cell r="C18">
            <v>10000</v>
          </cell>
          <cell r="D18">
            <v>10.98</v>
          </cell>
          <cell r="E18">
            <v>0.043750000000000004</v>
          </cell>
          <cell r="F18">
            <v>0.07526881720430101</v>
          </cell>
        </row>
        <row r="19">
          <cell r="B19" t="str">
            <v>AFH</v>
          </cell>
          <cell r="C19">
            <v>690</v>
          </cell>
          <cell r="D19">
            <v>14.6</v>
          </cell>
          <cell r="E19">
            <v>0.058499999999999996</v>
          </cell>
          <cell r="F19">
            <v>0.06153846153846154</v>
          </cell>
        </row>
        <row r="20">
          <cell r="B20" t="str">
            <v>AFR</v>
          </cell>
          <cell r="F20">
            <v>0</v>
          </cell>
        </row>
        <row r="21">
          <cell r="B21" t="str">
            <v>AFT</v>
          </cell>
          <cell r="C21">
            <v>2970</v>
          </cell>
          <cell r="D21">
            <v>14.6</v>
          </cell>
          <cell r="E21">
            <v>0.023625</v>
          </cell>
          <cell r="F21">
            <v>0.07764876632801165</v>
          </cell>
        </row>
        <row r="22">
          <cell r="B22" t="str">
            <v>AFX</v>
          </cell>
          <cell r="C22">
            <v>2800</v>
          </cell>
          <cell r="D22">
            <v>13.57</v>
          </cell>
          <cell r="E22">
            <v>0.036375</v>
          </cell>
          <cell r="F22">
            <v>0.10062893081761004</v>
          </cell>
        </row>
        <row r="23">
          <cell r="B23" t="str">
            <v>AGL</v>
          </cell>
          <cell r="C23">
            <v>25562</v>
          </cell>
          <cell r="D23">
            <v>8.35</v>
          </cell>
          <cell r="E23">
            <v>0.024499999999999997</v>
          </cell>
          <cell r="F23">
            <v>0.011155063291139244</v>
          </cell>
        </row>
        <row r="24">
          <cell r="B24" t="str">
            <v>ALH</v>
          </cell>
          <cell r="C24">
            <v>183</v>
          </cell>
          <cell r="D24">
            <v>12.5</v>
          </cell>
          <cell r="E24">
            <v>0</v>
          </cell>
          <cell r="F24">
            <v>-0.1448598130841121</v>
          </cell>
        </row>
        <row r="25">
          <cell r="B25" t="str">
            <v>AIA</v>
          </cell>
          <cell r="F25">
            <v>0</v>
          </cell>
        </row>
        <row r="26">
          <cell r="B26" t="str">
            <v>AIB</v>
          </cell>
          <cell r="F26">
            <v>0</v>
          </cell>
        </row>
        <row r="27">
          <cell r="B27" t="str">
            <v>AIP</v>
          </cell>
          <cell r="C27">
            <v>5835</v>
          </cell>
          <cell r="D27">
            <v>18.7</v>
          </cell>
          <cell r="E27">
            <v>0.023874999999999997</v>
          </cell>
          <cell r="F27">
            <v>0.07261029411764697</v>
          </cell>
        </row>
        <row r="28">
          <cell r="B28" t="str">
            <v>ALM</v>
          </cell>
          <cell r="F28">
            <v>0</v>
          </cell>
        </row>
        <row r="29">
          <cell r="B29" t="str">
            <v>AIL</v>
          </cell>
          <cell r="C29">
            <v>780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AME</v>
          </cell>
          <cell r="F30">
            <v>0</v>
          </cell>
        </row>
        <row r="31">
          <cell r="B31" t="str">
            <v>AMS</v>
          </cell>
          <cell r="C31">
            <v>35346</v>
          </cell>
          <cell r="D31">
            <v>95.8</v>
          </cell>
          <cell r="E31">
            <v>0</v>
          </cell>
          <cell r="F31">
            <v>-0.029329378810347695</v>
          </cell>
        </row>
        <row r="32">
          <cell r="B32" t="str">
            <v>ANH</v>
          </cell>
          <cell r="C32">
            <v>136930</v>
          </cell>
          <cell r="D32">
            <v>67.9</v>
          </cell>
          <cell r="E32">
            <v>0.034874999999999996</v>
          </cell>
          <cell r="F32">
            <v>-0.12783439490445858</v>
          </cell>
        </row>
        <row r="33">
          <cell r="B33" t="str">
            <v>AND</v>
          </cell>
          <cell r="F33">
            <v>0</v>
          </cell>
        </row>
        <row r="34">
          <cell r="B34" t="str">
            <v>ANG</v>
          </cell>
          <cell r="C34">
            <v>12862</v>
          </cell>
          <cell r="D34">
            <v>-53.9</v>
          </cell>
          <cell r="E34">
            <v>0.010124999999999999</v>
          </cell>
          <cell r="F34">
            <v>-0.09929971988795516</v>
          </cell>
        </row>
        <row r="35">
          <cell r="B35" t="str">
            <v>ANP</v>
          </cell>
          <cell r="F35">
            <v>0</v>
          </cell>
        </row>
        <row r="36">
          <cell r="B36" t="str">
            <v>ANS</v>
          </cell>
          <cell r="C36">
            <v>92</v>
          </cell>
          <cell r="D36">
            <v>6.9</v>
          </cell>
          <cell r="E36">
            <v>0</v>
          </cell>
          <cell r="F36">
            <v>0.03370786516853941</v>
          </cell>
        </row>
        <row r="37">
          <cell r="F37">
            <v>0</v>
          </cell>
        </row>
        <row r="38">
          <cell r="B38" t="str">
            <v>AOO</v>
          </cell>
          <cell r="F38">
            <v>0</v>
          </cell>
        </row>
        <row r="39">
          <cell r="B39" t="str">
            <v>APF</v>
          </cell>
          <cell r="C39">
            <v>515</v>
          </cell>
          <cell r="D39">
            <v>9.6</v>
          </cell>
          <cell r="E39">
            <v>0</v>
          </cell>
          <cell r="F39">
            <v>0</v>
          </cell>
        </row>
        <row r="40">
          <cell r="B40" t="str">
            <v>APK</v>
          </cell>
          <cell r="F40">
            <v>0</v>
          </cell>
        </row>
        <row r="41">
          <cell r="B41" t="str">
            <v>APN</v>
          </cell>
          <cell r="C41">
            <v>27750</v>
          </cell>
          <cell r="D41">
            <v>21.4</v>
          </cell>
          <cell r="E41">
            <v>0.010374999999999999</v>
          </cell>
          <cell r="F41">
            <v>-0.09165302782324058</v>
          </cell>
        </row>
        <row r="42">
          <cell r="B42" t="str">
            <v>AQP</v>
          </cell>
          <cell r="F42">
            <v>0</v>
          </cell>
        </row>
        <row r="43">
          <cell r="B43" t="str">
            <v>ARH</v>
          </cell>
          <cell r="C43">
            <v>520</v>
          </cell>
          <cell r="D43">
            <v>8.5</v>
          </cell>
          <cell r="E43">
            <v>0.047375</v>
          </cell>
          <cell r="F43">
            <v>-0.11111111111111116</v>
          </cell>
        </row>
        <row r="44">
          <cell r="B44" t="str">
            <v>ARI</v>
          </cell>
          <cell r="C44">
            <v>13424</v>
          </cell>
          <cell r="D44">
            <v>8</v>
          </cell>
          <cell r="E44">
            <v>0.048374999999999994</v>
          </cell>
          <cell r="F44">
            <v>0.11153432143744313</v>
          </cell>
        </row>
        <row r="45">
          <cell r="B45" t="str">
            <v>ARL</v>
          </cell>
          <cell r="C45">
            <v>26790</v>
          </cell>
          <cell r="D45">
            <v>14.1</v>
          </cell>
          <cell r="E45">
            <v>0.039375</v>
          </cell>
          <cell r="F45">
            <v>0.21772727272727277</v>
          </cell>
        </row>
        <row r="46">
          <cell r="B46" t="str">
            <v>ART</v>
          </cell>
          <cell r="C46">
            <v>400</v>
          </cell>
          <cell r="D46">
            <v>6.8</v>
          </cell>
          <cell r="E46">
            <v>0.0525</v>
          </cell>
          <cell r="F46">
            <v>-0.022004889975550168</v>
          </cell>
        </row>
        <row r="47">
          <cell r="B47" t="str">
            <v>ASC</v>
          </cell>
          <cell r="C47">
            <v>1770</v>
          </cell>
          <cell r="D47">
            <v>19.5</v>
          </cell>
          <cell r="E47">
            <v>0.0062499999999999995</v>
          </cell>
          <cell r="F47">
            <v>0.062424969987995294</v>
          </cell>
        </row>
        <row r="48">
          <cell r="B48" t="str">
            <v>ARA</v>
          </cell>
          <cell r="C48">
            <v>1166</v>
          </cell>
          <cell r="D48">
            <v>6.4</v>
          </cell>
          <cell r="E48">
            <v>0</v>
          </cell>
          <cell r="F48">
            <v>-0.07460317460317456</v>
          </cell>
        </row>
        <row r="49">
          <cell r="B49" t="str">
            <v>ASR</v>
          </cell>
          <cell r="C49">
            <v>36000</v>
          </cell>
          <cell r="D49">
            <v>7.1</v>
          </cell>
          <cell r="E49">
            <v>0.038875</v>
          </cell>
          <cell r="F49">
            <v>0.20024004800960182</v>
          </cell>
        </row>
        <row r="50">
          <cell r="B50" t="str">
            <v>ATL</v>
          </cell>
          <cell r="F50">
            <v>0</v>
          </cell>
        </row>
        <row r="51">
          <cell r="B51" t="str">
            <v>AEL</v>
          </cell>
          <cell r="C51">
            <v>1208</v>
          </cell>
          <cell r="D51">
            <v>15.1</v>
          </cell>
          <cell r="E51">
            <v>0</v>
          </cell>
          <cell r="F51">
            <v>-0.002477291494632494</v>
          </cell>
        </row>
        <row r="52">
          <cell r="F52">
            <v>0</v>
          </cell>
        </row>
        <row r="53">
          <cell r="B53" t="str">
            <v>ATT</v>
          </cell>
          <cell r="C53">
            <v>1990</v>
          </cell>
          <cell r="D53">
            <v>86.52</v>
          </cell>
          <cell r="E53">
            <v>0</v>
          </cell>
          <cell r="F53">
            <v>0.09521188772702249</v>
          </cell>
        </row>
        <row r="54">
          <cell r="B54" t="str">
            <v>AVI</v>
          </cell>
          <cell r="C54">
            <v>11056</v>
          </cell>
          <cell r="D54">
            <v>21.8</v>
          </cell>
          <cell r="E54">
            <v>0.036625</v>
          </cell>
          <cell r="F54">
            <v>0.09966182613885022</v>
          </cell>
        </row>
        <row r="55">
          <cell r="B55" t="str">
            <v>AVL</v>
          </cell>
          <cell r="C55">
            <v>70</v>
          </cell>
          <cell r="D55">
            <v>-3.2</v>
          </cell>
          <cell r="E55">
            <v>0</v>
          </cell>
          <cell r="F55">
            <v>0.01449275362318847</v>
          </cell>
        </row>
        <row r="56">
          <cell r="B56" t="str">
            <v>AWA</v>
          </cell>
          <cell r="C56">
            <v>655</v>
          </cell>
          <cell r="D56">
            <v>7.9</v>
          </cell>
          <cell r="E56">
            <v>0</v>
          </cell>
          <cell r="F56">
            <v>0.056451612903225756</v>
          </cell>
        </row>
        <row r="57">
          <cell r="B57" t="str">
            <v>AWB</v>
          </cell>
          <cell r="F57">
            <v>0</v>
          </cell>
        </row>
        <row r="58">
          <cell r="B58" t="str">
            <v>AVV</v>
          </cell>
          <cell r="C58">
            <v>1845</v>
          </cell>
          <cell r="D58">
            <v>7.6</v>
          </cell>
          <cell r="E58">
            <v>0.0135</v>
          </cell>
          <cell r="F58">
            <v>-0.028436018957345932</v>
          </cell>
        </row>
        <row r="59">
          <cell r="B59" t="str">
            <v>BAT</v>
          </cell>
          <cell r="C59">
            <v>4166</v>
          </cell>
          <cell r="D59">
            <v>-1.07</v>
          </cell>
          <cell r="E59">
            <v>0.01875</v>
          </cell>
          <cell r="F59">
            <v>-0.09807317601212384</v>
          </cell>
        </row>
        <row r="60">
          <cell r="B60" t="str">
            <v>BAU</v>
          </cell>
          <cell r="F60">
            <v>0</v>
          </cell>
        </row>
        <row r="61">
          <cell r="B61" t="str">
            <v>BAW</v>
          </cell>
          <cell r="C61">
            <v>15956</v>
          </cell>
          <cell r="D61">
            <v>18.1</v>
          </cell>
          <cell r="E61">
            <v>0.024499999999999997</v>
          </cell>
          <cell r="F61">
            <v>0.03476005188067455</v>
          </cell>
        </row>
        <row r="62">
          <cell r="B62" t="str">
            <v>BBET40</v>
          </cell>
          <cell r="F62">
            <v>0</v>
          </cell>
        </row>
        <row r="63">
          <cell r="B63" t="str">
            <v>BCF</v>
          </cell>
          <cell r="C63">
            <v>750</v>
          </cell>
          <cell r="D63">
            <v>8.1</v>
          </cell>
          <cell r="E63">
            <v>0.055999999999999994</v>
          </cell>
          <cell r="F63">
            <v>-0.013157894736842146</v>
          </cell>
        </row>
        <row r="64">
          <cell r="F64">
            <v>0</v>
          </cell>
        </row>
        <row r="65">
          <cell r="B65" t="str">
            <v>BCX</v>
          </cell>
          <cell r="F65">
            <v>0</v>
          </cell>
        </row>
        <row r="66">
          <cell r="B66" t="str">
            <v>BDM</v>
          </cell>
          <cell r="F66">
            <v>0</v>
          </cell>
        </row>
        <row r="67">
          <cell r="B67" t="str">
            <v>BEG</v>
          </cell>
          <cell r="F67">
            <v>0</v>
          </cell>
        </row>
        <row r="68">
          <cell r="B68" t="str">
            <v>BEL</v>
          </cell>
          <cell r="F68">
            <v>0</v>
          </cell>
        </row>
        <row r="69">
          <cell r="B69" t="str">
            <v>BFS</v>
          </cell>
          <cell r="F69">
            <v>0</v>
          </cell>
        </row>
        <row r="70">
          <cell r="B70" t="str">
            <v>BGA</v>
          </cell>
          <cell r="C70">
            <v>18199</v>
          </cell>
          <cell r="D70">
            <v>10</v>
          </cell>
          <cell r="E70">
            <v>0.057375</v>
          </cell>
          <cell r="F70">
            <v>0.15344150082393204</v>
          </cell>
        </row>
        <row r="71">
          <cell r="B71" t="str">
            <v>BGREEN</v>
          </cell>
          <cell r="F71">
            <v>0</v>
          </cell>
        </row>
        <row r="72">
          <cell r="B72" t="str">
            <v>BID</v>
          </cell>
          <cell r="C72">
            <v>30099</v>
          </cell>
          <cell r="D72">
            <v>25.5</v>
          </cell>
          <cell r="E72">
            <v>0.016624999999999997</v>
          </cell>
          <cell r="F72">
            <v>0.020201335457411096</v>
          </cell>
        </row>
        <row r="73">
          <cell r="B73" t="str">
            <v>BIL</v>
          </cell>
          <cell r="C73">
            <v>25055</v>
          </cell>
          <cell r="D73">
            <v>17.2</v>
          </cell>
          <cell r="E73">
            <v>0.04325</v>
          </cell>
          <cell r="F73">
            <v>0.012486866564293209</v>
          </cell>
        </row>
        <row r="74">
          <cell r="B74" t="str">
            <v>BIO</v>
          </cell>
          <cell r="F74">
            <v>0</v>
          </cell>
        </row>
        <row r="75">
          <cell r="B75" t="str">
            <v>BLU</v>
          </cell>
          <cell r="C75">
            <v>1492</v>
          </cell>
          <cell r="D75">
            <v>12.6</v>
          </cell>
          <cell r="E75">
            <v>0.026749999999999996</v>
          </cell>
          <cell r="F75">
            <v>-0.06163522012578615</v>
          </cell>
        </row>
        <row r="76">
          <cell r="B76" t="str">
            <v>BNT</v>
          </cell>
          <cell r="F76">
            <v>0</v>
          </cell>
        </row>
        <row r="77">
          <cell r="B77" t="str">
            <v>BRN</v>
          </cell>
          <cell r="F77">
            <v>0</v>
          </cell>
        </row>
        <row r="78">
          <cell r="B78" t="str">
            <v>BRT</v>
          </cell>
          <cell r="F78">
            <v>0</v>
          </cell>
        </row>
        <row r="79">
          <cell r="B79" t="str">
            <v>BSR</v>
          </cell>
          <cell r="C79">
            <v>60</v>
          </cell>
          <cell r="D79">
            <v>-0.15</v>
          </cell>
          <cell r="E79">
            <v>0</v>
          </cell>
          <cell r="F79">
            <v>-0.11764705882352944</v>
          </cell>
        </row>
        <row r="80">
          <cell r="B80" t="str">
            <v>BSS</v>
          </cell>
          <cell r="F80">
            <v>0</v>
          </cell>
        </row>
        <row r="81">
          <cell r="B81" t="str">
            <v>BTI</v>
          </cell>
          <cell r="C81">
            <v>82950</v>
          </cell>
          <cell r="D81">
            <v>20.7</v>
          </cell>
          <cell r="E81">
            <v>0.034874999999999996</v>
          </cell>
          <cell r="F81">
            <v>-0.05312542806264553</v>
          </cell>
        </row>
        <row r="82">
          <cell r="B82" t="str">
            <v>BVT</v>
          </cell>
          <cell r="C82">
            <v>21809</v>
          </cell>
          <cell r="D82">
            <v>19.7</v>
          </cell>
          <cell r="E82">
            <v>0.022499999999999996</v>
          </cell>
          <cell r="F82">
            <v>0.1396843645484951</v>
          </cell>
        </row>
        <row r="83">
          <cell r="B83" t="str">
            <v>BWN</v>
          </cell>
          <cell r="C83">
            <v>510</v>
          </cell>
          <cell r="D83">
            <v>3.7</v>
          </cell>
          <cell r="E83">
            <v>0.08037499999999999</v>
          </cell>
          <cell r="F83">
            <v>0.020000000000000018</v>
          </cell>
        </row>
        <row r="84">
          <cell r="B84" t="str">
            <v>CTA</v>
          </cell>
          <cell r="C84">
            <v>72</v>
          </cell>
          <cell r="D84">
            <v>14.37</v>
          </cell>
          <cell r="E84">
            <v>0.02775</v>
          </cell>
          <cell r="F84">
            <v>-0.08860759493670889</v>
          </cell>
        </row>
        <row r="85">
          <cell r="B85" t="str">
            <v>CAT</v>
          </cell>
          <cell r="C85">
            <v>1195</v>
          </cell>
          <cell r="D85">
            <v>10.34</v>
          </cell>
          <cell r="E85">
            <v>0.058625</v>
          </cell>
          <cell r="F85">
            <v>0.09032846715328469</v>
          </cell>
        </row>
        <row r="86">
          <cell r="B86" t="str">
            <v>CBH</v>
          </cell>
          <cell r="F86">
            <v>0</v>
          </cell>
        </row>
        <row r="87">
          <cell r="B87" t="str">
            <v>CRP</v>
          </cell>
          <cell r="F87">
            <v>0</v>
          </cell>
        </row>
        <row r="88">
          <cell r="B88" t="str">
            <v>CCO</v>
          </cell>
          <cell r="C88">
            <v>5257</v>
          </cell>
          <cell r="D88">
            <v>92.5</v>
          </cell>
          <cell r="E88">
            <v>0.004874999999999999</v>
          </cell>
          <cell r="F88">
            <v>0.10464383273797018</v>
          </cell>
        </row>
        <row r="89">
          <cell r="B89" t="str">
            <v>CGN</v>
          </cell>
          <cell r="C89">
            <v>127</v>
          </cell>
          <cell r="D89">
            <v>9.39</v>
          </cell>
          <cell r="E89">
            <v>0.06687499999999999</v>
          </cell>
          <cell r="F89">
            <v>0.05833333333333335</v>
          </cell>
        </row>
        <row r="90">
          <cell r="B90" t="str">
            <v>CHP</v>
          </cell>
          <cell r="C90">
            <v>297</v>
          </cell>
          <cell r="D90">
            <v>34.4</v>
          </cell>
          <cell r="E90">
            <v>0.009625</v>
          </cell>
          <cell r="F90">
            <v>0.006779661016949046</v>
          </cell>
        </row>
        <row r="91">
          <cell r="B91" t="str">
            <v>CFR</v>
          </cell>
          <cell r="C91">
            <v>11175</v>
          </cell>
          <cell r="D91">
            <v>27.4</v>
          </cell>
          <cell r="E91">
            <v>0.016249999999999997</v>
          </cell>
          <cell r="F91">
            <v>-0.045035036745855406</v>
          </cell>
        </row>
        <row r="92">
          <cell r="B92" t="str">
            <v>CKS</v>
          </cell>
          <cell r="C92">
            <v>5700</v>
          </cell>
          <cell r="D92">
            <v>63.1</v>
          </cell>
          <cell r="E92">
            <v>0.026375</v>
          </cell>
          <cell r="F92">
            <v>0.017857142857142794</v>
          </cell>
        </row>
        <row r="93">
          <cell r="B93" t="str">
            <v>CLH</v>
          </cell>
          <cell r="C93">
            <v>14437</v>
          </cell>
          <cell r="D93">
            <v>17.8</v>
          </cell>
          <cell r="E93">
            <v>0.034624999999999996</v>
          </cell>
          <cell r="F93">
            <v>0.14807157057654075</v>
          </cell>
        </row>
        <row r="94">
          <cell r="B94" t="str">
            <v>CLI</v>
          </cell>
          <cell r="C94">
            <v>1750</v>
          </cell>
          <cell r="D94">
            <v>12.47</v>
          </cell>
          <cell r="E94">
            <v>0.06575</v>
          </cell>
          <cell r="F94">
            <v>0.005747126436781658</v>
          </cell>
        </row>
        <row r="95">
          <cell r="B95" t="str">
            <v>CLR</v>
          </cell>
          <cell r="C95">
            <v>1310</v>
          </cell>
          <cell r="D95">
            <v>20.5</v>
          </cell>
          <cell r="E95">
            <v>0.0185</v>
          </cell>
          <cell r="F95">
            <v>0.07996702390766686</v>
          </cell>
        </row>
        <row r="96">
          <cell r="B96" t="str">
            <v>CLS</v>
          </cell>
          <cell r="C96">
            <v>18113</v>
          </cell>
          <cell r="D96">
            <v>33.75</v>
          </cell>
          <cell r="E96">
            <v>0.01775</v>
          </cell>
          <cell r="F96">
            <v>0.04463925255205026</v>
          </cell>
        </row>
        <row r="97">
          <cell r="B97" t="str">
            <v>CMA</v>
          </cell>
          <cell r="F97">
            <v>0</v>
          </cell>
        </row>
        <row r="98">
          <cell r="B98" t="str">
            <v>CGR</v>
          </cell>
          <cell r="C98">
            <v>1600</v>
          </cell>
          <cell r="D98">
            <v>13.83</v>
          </cell>
          <cell r="E98">
            <v>0</v>
          </cell>
          <cell r="F98">
            <v>0.509433962264151</v>
          </cell>
        </row>
        <row r="99">
          <cell r="B99" t="str">
            <v>CMH</v>
          </cell>
          <cell r="C99">
            <v>2600</v>
          </cell>
          <cell r="D99">
            <v>8.78</v>
          </cell>
          <cell r="E99">
            <v>0.061875</v>
          </cell>
          <cell r="F99">
            <v>0.019607843137254832</v>
          </cell>
        </row>
        <row r="100">
          <cell r="B100" t="str">
            <v>CML</v>
          </cell>
          <cell r="C100">
            <v>7390</v>
          </cell>
          <cell r="D100">
            <v>16.9</v>
          </cell>
          <cell r="E100">
            <v>0.059125</v>
          </cell>
          <cell r="F100">
            <v>0.022130013831258566</v>
          </cell>
        </row>
        <row r="101">
          <cell r="B101" t="str">
            <v>CSG</v>
          </cell>
          <cell r="C101">
            <v>119</v>
          </cell>
          <cell r="D101">
            <v>5.6</v>
          </cell>
          <cell r="E101">
            <v>0.041999999999999996</v>
          </cell>
          <cell r="F101">
            <v>-0.008333333333333304</v>
          </cell>
        </row>
        <row r="102">
          <cell r="B102" t="str">
            <v>CIL</v>
          </cell>
          <cell r="C102">
            <v>378</v>
          </cell>
          <cell r="D102">
            <v>-4.9</v>
          </cell>
          <cell r="E102">
            <v>0</v>
          </cell>
          <cell r="F102">
            <v>-0.08915662650602407</v>
          </cell>
        </row>
        <row r="103">
          <cell r="B103" t="str">
            <v>COH</v>
          </cell>
          <cell r="C103">
            <v>4240</v>
          </cell>
          <cell r="D103">
            <v>93.4</v>
          </cell>
          <cell r="E103">
            <v>0</v>
          </cell>
          <cell r="F103">
            <v>0.028876486289735492</v>
          </cell>
        </row>
        <row r="104">
          <cell r="B104" t="str">
            <v>COM</v>
          </cell>
          <cell r="F104">
            <v>0</v>
          </cell>
        </row>
        <row r="105">
          <cell r="B105" t="str">
            <v>CPI</v>
          </cell>
          <cell r="C105">
            <v>109796</v>
          </cell>
          <cell r="D105">
            <v>31.1</v>
          </cell>
          <cell r="E105">
            <v>0.012125</v>
          </cell>
          <cell r="F105">
            <v>0.11491790127844514</v>
          </cell>
        </row>
        <row r="106">
          <cell r="B106" t="str">
            <v>CPF</v>
          </cell>
          <cell r="F106">
            <v>0</v>
          </cell>
        </row>
        <row r="107">
          <cell r="B107" t="str">
            <v>CRD</v>
          </cell>
          <cell r="F107">
            <v>0</v>
          </cell>
        </row>
        <row r="108">
          <cell r="B108" t="str">
            <v>CRG</v>
          </cell>
          <cell r="C108">
            <v>900</v>
          </cell>
          <cell r="D108">
            <v>10.8</v>
          </cell>
          <cell r="E108">
            <v>0.011125</v>
          </cell>
          <cell r="F108">
            <v>-0.1964285714285714</v>
          </cell>
        </row>
        <row r="109">
          <cell r="B109" t="str">
            <v>CSP500</v>
          </cell>
          <cell r="F109">
            <v>0</v>
          </cell>
        </row>
        <row r="110">
          <cell r="B110" t="str">
            <v>CSB</v>
          </cell>
          <cell r="C110">
            <v>44500</v>
          </cell>
          <cell r="D110">
            <v>21.8</v>
          </cell>
          <cell r="E110">
            <v>0.020874999999999998</v>
          </cell>
          <cell r="F110">
            <v>0.15885416666666674</v>
          </cell>
        </row>
        <row r="111">
          <cell r="B111" t="str">
            <v>CND</v>
          </cell>
          <cell r="C111">
            <v>226</v>
          </cell>
          <cell r="D111">
            <v>-13.2</v>
          </cell>
          <cell r="E111">
            <v>0</v>
          </cell>
          <cell r="F111">
            <v>0.1299999999999999</v>
          </cell>
        </row>
        <row r="112">
          <cell r="B112" t="str">
            <v>CPR</v>
          </cell>
          <cell r="C112">
            <v>1000</v>
          </cell>
          <cell r="D112">
            <v>22.6</v>
          </cell>
          <cell r="E112">
            <v>0.05925</v>
          </cell>
          <cell r="F112">
            <v>0.031991744066047545</v>
          </cell>
        </row>
        <row r="113">
          <cell r="B113" t="str">
            <v>CUL</v>
          </cell>
          <cell r="C113">
            <v>139</v>
          </cell>
          <cell r="D113">
            <v>11.722</v>
          </cell>
          <cell r="E113">
            <v>0.0072499999999999995</v>
          </cell>
          <cell r="F113">
            <v>0.139344262295082</v>
          </cell>
        </row>
        <row r="114">
          <cell r="B114" t="str">
            <v>CVH</v>
          </cell>
          <cell r="C114">
            <v>904</v>
          </cell>
          <cell r="D114">
            <v>19.2</v>
          </cell>
          <cell r="E114">
            <v>0.026749999999999996</v>
          </cell>
          <cell r="F114">
            <v>0.09443099273607758</v>
          </cell>
        </row>
        <row r="115">
          <cell r="B115" t="str">
            <v>CVN</v>
          </cell>
          <cell r="F115">
            <v>0</v>
          </cell>
        </row>
        <row r="116">
          <cell r="B116" t="str">
            <v>CZA</v>
          </cell>
          <cell r="F116">
            <v>-1</v>
          </cell>
        </row>
        <row r="117">
          <cell r="B117" t="str">
            <v>DAW</v>
          </cell>
          <cell r="C117">
            <v>97</v>
          </cell>
          <cell r="D117">
            <v>-0.6</v>
          </cell>
          <cell r="E117">
            <v>0</v>
          </cell>
          <cell r="F117">
            <v>0</v>
          </cell>
        </row>
        <row r="118">
          <cell r="B118" t="str">
            <v>DBXEU</v>
          </cell>
          <cell r="F118">
            <v>0</v>
          </cell>
        </row>
        <row r="119">
          <cell r="B119" t="str">
            <v>DBXJP</v>
          </cell>
          <cell r="F119">
            <v>0</v>
          </cell>
        </row>
        <row r="120">
          <cell r="B120" t="str">
            <v>DBXUK</v>
          </cell>
          <cell r="F120">
            <v>0</v>
          </cell>
        </row>
        <row r="121">
          <cell r="B121" t="str">
            <v>DBXUS</v>
          </cell>
          <cell r="F121">
            <v>0</v>
          </cell>
        </row>
        <row r="122">
          <cell r="B122" t="str">
            <v>DBXWD</v>
          </cell>
          <cell r="F122">
            <v>0</v>
          </cell>
        </row>
        <row r="123">
          <cell r="B123" t="str">
            <v>DCCUSD</v>
          </cell>
          <cell r="F123">
            <v>0</v>
          </cell>
        </row>
        <row r="124">
          <cell r="B124" t="str">
            <v>DLT</v>
          </cell>
          <cell r="C124">
            <v>655</v>
          </cell>
          <cell r="D124">
            <v>7.2</v>
          </cell>
          <cell r="E124">
            <v>0.1439</v>
          </cell>
          <cell r="F124">
            <v>-0.020926756352765308</v>
          </cell>
        </row>
        <row r="125">
          <cell r="B125" t="str">
            <v>DRD</v>
          </cell>
          <cell r="C125">
            <v>419</v>
          </cell>
          <cell r="D125">
            <v>2095</v>
          </cell>
          <cell r="E125">
            <v>0.011874999999999998</v>
          </cell>
          <cell r="F125">
            <v>-0.08714596949891062</v>
          </cell>
        </row>
        <row r="126">
          <cell r="B126" t="str">
            <v>DST</v>
          </cell>
          <cell r="C126">
            <v>14185</v>
          </cell>
          <cell r="D126">
            <v>20</v>
          </cell>
          <cell r="E126">
            <v>0.026749999999999996</v>
          </cell>
          <cell r="F126">
            <v>0.10055085732019542</v>
          </cell>
        </row>
        <row r="127">
          <cell r="B127" t="str">
            <v>DSY</v>
          </cell>
          <cell r="C127">
            <v>18600</v>
          </cell>
          <cell r="D127">
            <v>27.22</v>
          </cell>
          <cell r="E127">
            <v>0.01</v>
          </cell>
          <cell r="F127">
            <v>0.12925748284864302</v>
          </cell>
        </row>
        <row r="128">
          <cell r="B128" t="str">
            <v>DNB</v>
          </cell>
          <cell r="C128">
            <v>200</v>
          </cell>
          <cell r="D128">
            <v>33.9</v>
          </cell>
          <cell r="E128">
            <v>0.015</v>
          </cell>
          <cell r="F128">
            <v>-0.08256880733944949</v>
          </cell>
        </row>
        <row r="129">
          <cell r="B129" t="str">
            <v>DTC</v>
          </cell>
          <cell r="C129">
            <v>5713</v>
          </cell>
          <cell r="D129">
            <v>-31.4</v>
          </cell>
          <cell r="E129">
            <v>0.00675</v>
          </cell>
          <cell r="F129">
            <v>0.011329438838732608</v>
          </cell>
        </row>
        <row r="130">
          <cell r="B130" t="str">
            <v>DCP</v>
          </cell>
          <cell r="C130">
            <v>3650</v>
          </cell>
          <cell r="D130">
            <v>45.1</v>
          </cell>
          <cell r="E130">
            <v>0.00475</v>
          </cell>
          <cell r="F130">
            <v>-0.013513513513513487</v>
          </cell>
        </row>
        <row r="131">
          <cell r="B131" t="str">
            <v>EXG</v>
          </cell>
          <cell r="C131">
            <v>600</v>
          </cell>
          <cell r="D131">
            <v>-0.2</v>
          </cell>
          <cell r="E131">
            <v>0</v>
          </cell>
          <cell r="F131">
            <v>-0.1291727140783745</v>
          </cell>
        </row>
        <row r="132">
          <cell r="B132" t="str">
            <v>ELI</v>
          </cell>
          <cell r="C132">
            <v>36</v>
          </cell>
          <cell r="D132">
            <v>180</v>
          </cell>
          <cell r="E132">
            <v>0</v>
          </cell>
          <cell r="F132">
            <v>-0.12195121951219512</v>
          </cell>
        </row>
        <row r="133">
          <cell r="B133" t="str">
            <v>EMH</v>
          </cell>
          <cell r="C133">
            <v>450</v>
          </cell>
          <cell r="D133">
            <v>64.3</v>
          </cell>
          <cell r="E133">
            <v>0</v>
          </cell>
          <cell r="F133">
            <v>0.139240506329114</v>
          </cell>
        </row>
        <row r="134">
          <cell r="B134" t="str">
            <v>EMI</v>
          </cell>
          <cell r="C134">
            <v>1346</v>
          </cell>
          <cell r="D134">
            <v>13.3</v>
          </cell>
          <cell r="E134">
            <v>0.1034</v>
          </cell>
          <cell r="F134">
            <v>0.0166163141993958</v>
          </cell>
        </row>
        <row r="135">
          <cell r="B135" t="str">
            <v>EOH</v>
          </cell>
          <cell r="C135">
            <v>6744</v>
          </cell>
          <cell r="D135">
            <v>8.11</v>
          </cell>
          <cell r="E135">
            <v>0.031874999999999994</v>
          </cell>
          <cell r="F135">
            <v>-0.19828815977175462</v>
          </cell>
        </row>
        <row r="136">
          <cell r="B136" t="str">
            <v>EPS</v>
          </cell>
          <cell r="C136">
            <v>-3.2</v>
          </cell>
          <cell r="D136">
            <v>-3.08</v>
          </cell>
          <cell r="E136">
            <v>0</v>
          </cell>
          <cell r="F136">
            <v>-1.0092753623188406</v>
          </cell>
        </row>
        <row r="137">
          <cell r="B137" t="str">
            <v>EQU</v>
          </cell>
          <cell r="C137">
            <v>2100</v>
          </cell>
          <cell r="D137">
            <v>15.1</v>
          </cell>
          <cell r="E137">
            <v>0.0569</v>
          </cell>
          <cell r="F137">
            <v>0.050000000000000044</v>
          </cell>
        </row>
        <row r="138">
          <cell r="B138" t="str">
            <v>ENX</v>
          </cell>
          <cell r="C138">
            <v>1445</v>
          </cell>
          <cell r="D138">
            <v>-5.2</v>
          </cell>
          <cell r="E138">
            <v>0</v>
          </cell>
          <cell r="F138">
            <v>0.021923620933521848</v>
          </cell>
        </row>
        <row r="139">
          <cell r="B139" t="str">
            <v>ESR</v>
          </cell>
          <cell r="C139">
            <v>22</v>
          </cell>
          <cell r="D139">
            <v>-0.84</v>
          </cell>
          <cell r="E139">
            <v>0</v>
          </cell>
          <cell r="F139">
            <v>-0.12</v>
          </cell>
        </row>
        <row r="140">
          <cell r="B140" t="str">
            <v>EPE</v>
          </cell>
          <cell r="C140">
            <v>845</v>
          </cell>
          <cell r="D140">
            <v>14.82</v>
          </cell>
          <cell r="E140">
            <v>0</v>
          </cell>
          <cell r="F140">
            <v>0.01807228915662651</v>
          </cell>
        </row>
        <row r="141">
          <cell r="B141" t="str">
            <v>EXX</v>
          </cell>
          <cell r="C141">
            <v>16250</v>
          </cell>
          <cell r="D141">
            <v>8.7</v>
          </cell>
          <cell r="E141">
            <v>0.043750000000000004</v>
          </cell>
          <cell r="F141">
            <v>0.10214324470971237</v>
          </cell>
        </row>
        <row r="142">
          <cell r="B142" t="str">
            <v>EPP</v>
          </cell>
          <cell r="C142">
            <v>1700</v>
          </cell>
          <cell r="D142">
            <v>-15.4</v>
          </cell>
          <cell r="E142">
            <v>0.048124999999999994</v>
          </cell>
          <cell r="F142">
            <v>-0.15000000000000002</v>
          </cell>
        </row>
        <row r="143">
          <cell r="B143" t="str">
            <v>FBR</v>
          </cell>
          <cell r="C143">
            <v>10299</v>
          </cell>
          <cell r="D143">
            <v>55.1</v>
          </cell>
          <cell r="E143">
            <v>0</v>
          </cell>
          <cell r="F143">
            <v>0.0462210483543275</v>
          </cell>
        </row>
        <row r="144">
          <cell r="B144" t="str">
            <v>FFA</v>
          </cell>
          <cell r="C144">
            <v>1856</v>
          </cell>
          <cell r="D144">
            <v>11.2</v>
          </cell>
          <cell r="E144">
            <v>0.0734</v>
          </cell>
          <cell r="F144">
            <v>0.07594202898550728</v>
          </cell>
        </row>
        <row r="145">
          <cell r="B145" t="str">
            <v>FFB</v>
          </cell>
          <cell r="C145">
            <v>4220</v>
          </cell>
          <cell r="D145">
            <v>25.5</v>
          </cell>
          <cell r="F145">
            <v>0.0011862396204034287</v>
          </cell>
        </row>
        <row r="146">
          <cell r="B146" t="str">
            <v>FGL</v>
          </cell>
          <cell r="C146">
            <v>339</v>
          </cell>
          <cell r="D146">
            <v>14</v>
          </cell>
          <cell r="E146">
            <v>0.0215</v>
          </cell>
          <cell r="F146">
            <v>-0.002941176470588225</v>
          </cell>
        </row>
        <row r="147">
          <cell r="B147" t="str">
            <v>FMC</v>
          </cell>
          <cell r="F147">
            <v>0</v>
          </cell>
        </row>
        <row r="148">
          <cell r="B148" t="str">
            <v>FPT</v>
          </cell>
          <cell r="F148">
            <v>0</v>
          </cell>
        </row>
        <row r="149">
          <cell r="B149" t="str">
            <v>FRT</v>
          </cell>
          <cell r="F149">
            <v>0</v>
          </cell>
        </row>
        <row r="150">
          <cell r="B150" t="str">
            <v>FSE</v>
          </cell>
          <cell r="F150">
            <v>0</v>
          </cell>
        </row>
        <row r="151">
          <cell r="B151" t="str">
            <v>FSR</v>
          </cell>
          <cell r="C151">
            <v>6725</v>
          </cell>
          <cell r="D151">
            <v>15.9</v>
          </cell>
          <cell r="E151">
            <v>0.037875</v>
          </cell>
          <cell r="F151">
            <v>0.19343389529724941</v>
          </cell>
        </row>
        <row r="152">
          <cell r="B152" t="str">
            <v>FVT</v>
          </cell>
          <cell r="C152">
            <v>190</v>
          </cell>
          <cell r="D152">
            <v>9.9</v>
          </cell>
          <cell r="E152">
            <v>0.0955</v>
          </cell>
          <cell r="F152">
            <v>-0.02564102564102566</v>
          </cell>
        </row>
        <row r="153">
          <cell r="B153" t="str">
            <v>FWX</v>
          </cell>
          <cell r="F153">
            <v>0</v>
          </cell>
        </row>
        <row r="154">
          <cell r="B154" t="str">
            <v>GAM</v>
          </cell>
          <cell r="F154">
            <v>0</v>
          </cell>
        </row>
        <row r="155">
          <cell r="B155" t="str">
            <v>GBG</v>
          </cell>
          <cell r="F155">
            <v>0</v>
          </cell>
        </row>
        <row r="156">
          <cell r="B156" t="str">
            <v>GDN</v>
          </cell>
          <cell r="F156">
            <v>0</v>
          </cell>
        </row>
        <row r="157">
          <cell r="B157" t="str">
            <v>GFI</v>
          </cell>
          <cell r="C157">
            <v>5410</v>
          </cell>
          <cell r="D157">
            <v>21.3</v>
          </cell>
          <cell r="E157">
            <v>0.0185</v>
          </cell>
          <cell r="F157">
            <v>-0.07028699089190582</v>
          </cell>
        </row>
        <row r="158">
          <cell r="B158" t="str">
            <v>GGM</v>
          </cell>
          <cell r="F158">
            <v>0</v>
          </cell>
        </row>
        <row r="159">
          <cell r="B159" t="str">
            <v>GLPROP</v>
          </cell>
          <cell r="F159">
            <v>0</v>
          </cell>
        </row>
        <row r="160">
          <cell r="B160" t="str">
            <v>GIJ</v>
          </cell>
          <cell r="F160">
            <v>0</v>
          </cell>
        </row>
        <row r="161">
          <cell r="B161" t="str">
            <v>GRP</v>
          </cell>
          <cell r="C161">
            <v>255</v>
          </cell>
          <cell r="D161">
            <v>-132.29</v>
          </cell>
          <cell r="E161">
            <v>0.028249999999999997</v>
          </cell>
          <cell r="F161">
            <v>-0.04850746268656714</v>
          </cell>
        </row>
        <row r="162">
          <cell r="B162" t="str">
            <v>GLD</v>
          </cell>
          <cell r="F162">
            <v>0</v>
          </cell>
        </row>
        <row r="163">
          <cell r="B163" t="str">
            <v>GLN</v>
          </cell>
          <cell r="C163">
            <v>6436</v>
          </cell>
          <cell r="D163">
            <v>20.9</v>
          </cell>
          <cell r="E163">
            <v>0.0144</v>
          </cell>
          <cell r="F163">
            <v>0.02680280791320988</v>
          </cell>
        </row>
        <row r="164">
          <cell r="B164" t="str">
            <v>GND</v>
          </cell>
          <cell r="C164">
            <v>1365</v>
          </cell>
          <cell r="D164">
            <v>-49.06</v>
          </cell>
          <cell r="E164">
            <v>0</v>
          </cell>
          <cell r="F164">
            <v>0.008869179600886845</v>
          </cell>
        </row>
        <row r="165">
          <cell r="B165" t="str">
            <v>GPL</v>
          </cell>
          <cell r="C165">
            <v>230</v>
          </cell>
          <cell r="D165">
            <v>-50.1</v>
          </cell>
          <cell r="E165">
            <v>0.0489</v>
          </cell>
          <cell r="F165">
            <v>-0.1785714285714286</v>
          </cell>
        </row>
        <row r="166">
          <cell r="B166" t="str">
            <v>GRF</v>
          </cell>
          <cell r="C166">
            <v>1290</v>
          </cell>
          <cell r="D166">
            <v>-1.5</v>
          </cell>
          <cell r="E166">
            <v>0.010875</v>
          </cell>
          <cell r="F166">
            <v>0.08130762782900258</v>
          </cell>
        </row>
        <row r="167">
          <cell r="B167" t="str">
            <v>GRT</v>
          </cell>
          <cell r="C167">
            <v>2766</v>
          </cell>
          <cell r="D167">
            <v>15.4</v>
          </cell>
          <cell r="E167">
            <v>0.0717</v>
          </cell>
          <cell r="F167">
            <v>0.10640000000000005</v>
          </cell>
        </row>
        <row r="168">
          <cell r="B168" t="str">
            <v>HAR</v>
          </cell>
          <cell r="C168">
            <v>2269</v>
          </cell>
          <cell r="D168">
            <v>7.58</v>
          </cell>
          <cell r="E168">
            <v>0.0375</v>
          </cell>
          <cell r="F168">
            <v>-0.10031720856463122</v>
          </cell>
        </row>
        <row r="169">
          <cell r="B169" t="str">
            <v>HMN</v>
          </cell>
          <cell r="C169">
            <v>9068</v>
          </cell>
          <cell r="D169">
            <v>16.6</v>
          </cell>
          <cell r="E169">
            <v>0.029750000000000002</v>
          </cell>
          <cell r="F169">
            <v>-0.04072781127684333</v>
          </cell>
        </row>
        <row r="170">
          <cell r="B170" t="str">
            <v>HDC</v>
          </cell>
          <cell r="C170">
            <v>14400</v>
          </cell>
          <cell r="D170">
            <v>11.68</v>
          </cell>
          <cell r="E170">
            <v>0.0372</v>
          </cell>
          <cell r="F170">
            <v>0.05882352941176472</v>
          </cell>
        </row>
        <row r="171">
          <cell r="B171" t="str">
            <v>HLM</v>
          </cell>
          <cell r="C171">
            <v>615</v>
          </cell>
          <cell r="D171">
            <v>4.8</v>
          </cell>
          <cell r="E171">
            <v>0.024374999999999997</v>
          </cell>
          <cell r="F171">
            <v>-0.06818181818181823</v>
          </cell>
        </row>
        <row r="172">
          <cell r="B172" t="str">
            <v>HPA</v>
          </cell>
          <cell r="F172">
            <v>0</v>
          </cell>
        </row>
        <row r="173">
          <cell r="B173" t="str">
            <v>HPB</v>
          </cell>
          <cell r="F173">
            <v>0</v>
          </cell>
        </row>
        <row r="174">
          <cell r="B174" t="str">
            <v>HSP</v>
          </cell>
          <cell r="F174">
            <v>0</v>
          </cell>
        </row>
        <row r="175">
          <cell r="B175" t="str">
            <v>HUG</v>
          </cell>
          <cell r="F175">
            <v>0</v>
          </cell>
        </row>
        <row r="176">
          <cell r="B176" t="str">
            <v>HWA</v>
          </cell>
          <cell r="F176">
            <v>0</v>
          </cell>
        </row>
        <row r="177">
          <cell r="B177" t="str">
            <v>HWN</v>
          </cell>
          <cell r="C177">
            <v>3425</v>
          </cell>
          <cell r="D177">
            <v>9.1</v>
          </cell>
          <cell r="E177">
            <v>0</v>
          </cell>
          <cell r="F177">
            <v>0.03007518796992481</v>
          </cell>
        </row>
        <row r="178">
          <cell r="B178" t="str">
            <v>HYP</v>
          </cell>
          <cell r="C178">
            <v>11730</v>
          </cell>
          <cell r="D178">
            <v>18.2</v>
          </cell>
          <cell r="E178">
            <v>0.061</v>
          </cell>
          <cell r="F178">
            <v>0.0937062937062938</v>
          </cell>
        </row>
        <row r="179">
          <cell r="B179" t="str">
            <v>IAP</v>
          </cell>
          <cell r="C179">
            <v>1255</v>
          </cell>
          <cell r="D179">
            <v>9</v>
          </cell>
          <cell r="E179">
            <v>0.0797</v>
          </cell>
          <cell r="F179">
            <v>-0.04852160727824106</v>
          </cell>
        </row>
        <row r="180">
          <cell r="B180" t="str">
            <v>IDQ</v>
          </cell>
          <cell r="F180">
            <v>0</v>
          </cell>
        </row>
        <row r="181">
          <cell r="B181" t="str">
            <v>ILA</v>
          </cell>
          <cell r="F181">
            <v>0</v>
          </cell>
        </row>
        <row r="182">
          <cell r="B182" t="str">
            <v>ILE</v>
          </cell>
          <cell r="F182">
            <v>0</v>
          </cell>
        </row>
        <row r="183">
          <cell r="B183" t="str">
            <v>ILV</v>
          </cell>
          <cell r="F183">
            <v>0</v>
          </cell>
        </row>
        <row r="184">
          <cell r="B184" t="str">
            <v>IMP</v>
          </cell>
          <cell r="C184">
            <v>3244</v>
          </cell>
          <cell r="D184">
            <v>-23.7</v>
          </cell>
          <cell r="E184">
            <v>0</v>
          </cell>
          <cell r="F184">
            <v>-0.16820512820512823</v>
          </cell>
        </row>
        <row r="185">
          <cell r="B185" t="str">
            <v>ING</v>
          </cell>
          <cell r="C185">
            <v>90</v>
          </cell>
          <cell r="D185">
            <v>150</v>
          </cell>
          <cell r="E185">
            <v>0</v>
          </cell>
          <cell r="F185">
            <v>-0.09999999999999998</v>
          </cell>
        </row>
        <row r="186">
          <cell r="B186" t="str">
            <v>INL</v>
          </cell>
          <cell r="C186">
            <v>8972</v>
          </cell>
          <cell r="D186">
            <v>11.2</v>
          </cell>
          <cell r="E186">
            <v>0.047375</v>
          </cell>
          <cell r="F186">
            <v>-0.05597643097643101</v>
          </cell>
        </row>
        <row r="187">
          <cell r="B187" t="str">
            <v>INP</v>
          </cell>
          <cell r="C187">
            <v>8976</v>
          </cell>
          <cell r="D187">
            <v>11.2</v>
          </cell>
          <cell r="E187">
            <v>0.047375</v>
          </cell>
          <cell r="F187">
            <v>-0.05316455696202527</v>
          </cell>
        </row>
        <row r="188">
          <cell r="B188" t="str">
            <v>IPF</v>
          </cell>
          <cell r="C188">
            <v>1650</v>
          </cell>
          <cell r="D188">
            <v>15.3</v>
          </cell>
          <cell r="E188">
            <v>0.0847</v>
          </cell>
          <cell r="F188">
            <v>0.054313099041533475</v>
          </cell>
        </row>
        <row r="189">
          <cell r="B189" t="str">
            <v>IPL</v>
          </cell>
          <cell r="C189">
            <v>26214</v>
          </cell>
          <cell r="D189">
            <v>18.9</v>
          </cell>
          <cell r="E189">
            <v>0.02475</v>
          </cell>
          <cell r="F189">
            <v>0.1533790918690603</v>
          </cell>
        </row>
        <row r="190">
          <cell r="B190" t="str">
            <v>IPS</v>
          </cell>
          <cell r="F190">
            <v>0</v>
          </cell>
        </row>
        <row r="191">
          <cell r="B191" t="str">
            <v>IRA</v>
          </cell>
          <cell r="F191">
            <v>0</v>
          </cell>
        </row>
        <row r="192">
          <cell r="B192" t="str">
            <v>ISA</v>
          </cell>
          <cell r="C192">
            <v>110</v>
          </cell>
          <cell r="D192">
            <v>6.8</v>
          </cell>
          <cell r="E192">
            <v>0.090875</v>
          </cell>
          <cell r="F192">
            <v>-0.05982905982905984</v>
          </cell>
        </row>
        <row r="193">
          <cell r="B193" t="str">
            <v>ISB</v>
          </cell>
          <cell r="F193">
            <v>0</v>
          </cell>
        </row>
        <row r="194">
          <cell r="B194" t="str">
            <v>ITE</v>
          </cell>
          <cell r="C194">
            <v>1470</v>
          </cell>
          <cell r="D194">
            <v>17.6</v>
          </cell>
          <cell r="E194">
            <v>0.019875</v>
          </cell>
          <cell r="F194">
            <v>0.13076923076923075</v>
          </cell>
        </row>
        <row r="195">
          <cell r="B195" t="str">
            <v>ITU</v>
          </cell>
          <cell r="C195">
            <v>4195</v>
          </cell>
          <cell r="D195">
            <v>9.9</v>
          </cell>
          <cell r="E195">
            <v>0.058875000000000004</v>
          </cell>
          <cell r="F195">
            <v>0.17146048589779395</v>
          </cell>
        </row>
        <row r="196">
          <cell r="B196" t="str">
            <v>IVT</v>
          </cell>
          <cell r="C196">
            <v>5105</v>
          </cell>
          <cell r="D196">
            <v>10.8</v>
          </cell>
          <cell r="E196">
            <v>0.032</v>
          </cell>
          <cell r="F196">
            <v>0.0029469548133596035</v>
          </cell>
        </row>
        <row r="197">
          <cell r="B197" t="str">
            <v>IWE</v>
          </cell>
          <cell r="C197">
            <v>94</v>
          </cell>
          <cell r="D197">
            <v>9</v>
          </cell>
          <cell r="E197">
            <v>0</v>
          </cell>
          <cell r="F197">
            <v>0.10588235294117654</v>
          </cell>
        </row>
        <row r="198">
          <cell r="B198" t="str">
            <v>JBL</v>
          </cell>
          <cell r="F198">
            <v>0</v>
          </cell>
        </row>
        <row r="199">
          <cell r="B199" t="str">
            <v>JDG</v>
          </cell>
          <cell r="F199">
            <v>0</v>
          </cell>
        </row>
        <row r="200">
          <cell r="B200" t="str">
            <v>JDH</v>
          </cell>
          <cell r="F200">
            <v>0</v>
          </cell>
        </row>
        <row r="201">
          <cell r="B201" t="str">
            <v>JSC</v>
          </cell>
          <cell r="F201">
            <v>0</v>
          </cell>
        </row>
        <row r="202">
          <cell r="B202" t="str">
            <v>JSE</v>
          </cell>
          <cell r="C202">
            <v>15384</v>
          </cell>
          <cell r="D202">
            <v>15.93</v>
          </cell>
          <cell r="E202">
            <v>0.036375</v>
          </cell>
          <cell r="F202">
            <v>0.14891710231516053</v>
          </cell>
        </row>
        <row r="203">
          <cell r="B203" t="str">
            <v>KAP</v>
          </cell>
          <cell r="C203">
            <v>795</v>
          </cell>
          <cell r="D203">
            <v>14.7</v>
          </cell>
          <cell r="E203">
            <v>0.026375</v>
          </cell>
          <cell r="F203">
            <v>-0.09350057012542756</v>
          </cell>
        </row>
        <row r="204">
          <cell r="B204" t="str">
            <v>KBO</v>
          </cell>
          <cell r="F204">
            <v>0</v>
          </cell>
        </row>
        <row r="205">
          <cell r="B205" t="str">
            <v>KDV</v>
          </cell>
          <cell r="F205">
            <v>0</v>
          </cell>
        </row>
        <row r="206">
          <cell r="B206" t="str">
            <v>KEH</v>
          </cell>
          <cell r="F206">
            <v>0</v>
          </cell>
        </row>
        <row r="207">
          <cell r="B207" t="str">
            <v>KEL</v>
          </cell>
          <cell r="F207">
            <v>0</v>
          </cell>
        </row>
        <row r="208">
          <cell r="B208" t="str">
            <v>KIO</v>
          </cell>
          <cell r="C208">
            <v>37913</v>
          </cell>
          <cell r="D208">
            <v>11.7</v>
          </cell>
          <cell r="E208">
            <v>0.042124999999999996</v>
          </cell>
          <cell r="F208">
            <v>0.16554968027545502</v>
          </cell>
        </row>
        <row r="209">
          <cell r="B209" t="str">
            <v>KST</v>
          </cell>
          <cell r="C209">
            <v>874</v>
          </cell>
          <cell r="D209">
            <v>22.5</v>
          </cell>
          <cell r="E209">
            <v>0.01825</v>
          </cell>
          <cell r="F209">
            <v>0</v>
          </cell>
        </row>
        <row r="210">
          <cell r="B210" t="str">
            <v>L2D</v>
          </cell>
          <cell r="C210">
            <v>835</v>
          </cell>
          <cell r="D210">
            <v>36.5</v>
          </cell>
          <cell r="E210">
            <v>0.043</v>
          </cell>
          <cell r="F210">
            <v>0.030864197530864113</v>
          </cell>
        </row>
        <row r="211">
          <cell r="B211" t="str">
            <v>LBH</v>
          </cell>
          <cell r="C211">
            <v>12443</v>
          </cell>
          <cell r="D211">
            <v>17.4</v>
          </cell>
          <cell r="E211">
            <v>0.0555</v>
          </cell>
          <cell r="F211">
            <v>0.07137936972619263</v>
          </cell>
        </row>
        <row r="212">
          <cell r="B212" t="str">
            <v>LEW</v>
          </cell>
          <cell r="C212">
            <v>2644</v>
          </cell>
          <cell r="D212">
            <v>7.2</v>
          </cell>
          <cell r="E212">
            <v>0.075625</v>
          </cell>
          <cell r="F212">
            <v>0.07305194805194803</v>
          </cell>
        </row>
        <row r="213">
          <cell r="B213" t="str">
            <v>LHC</v>
          </cell>
          <cell r="C213">
            <v>2775</v>
          </cell>
          <cell r="D213">
            <v>35.9</v>
          </cell>
          <cell r="E213">
            <v>0.028874999999999998</v>
          </cell>
          <cell r="F213">
            <v>0.062811183454615</v>
          </cell>
        </row>
        <row r="214">
          <cell r="B214" t="str">
            <v>L4L</v>
          </cell>
          <cell r="C214">
            <v>490</v>
          </cell>
          <cell r="D214">
            <v>23.2</v>
          </cell>
          <cell r="E214">
            <v>0</v>
          </cell>
          <cell r="F214">
            <v>0.056034482758620774</v>
          </cell>
        </row>
        <row r="215">
          <cell r="B215" t="str">
            <v>LNF</v>
          </cell>
          <cell r="F215">
            <v>0</v>
          </cell>
        </row>
        <row r="216">
          <cell r="B216" t="str">
            <v>LON</v>
          </cell>
          <cell r="C216">
            <v>1408</v>
          </cell>
          <cell r="D216">
            <v>-1.68</v>
          </cell>
          <cell r="E216">
            <v>0</v>
          </cell>
          <cell r="F216">
            <v>0.1752921535893155</v>
          </cell>
        </row>
        <row r="217">
          <cell r="B217" t="str">
            <v>MAPPSG</v>
          </cell>
          <cell r="F217">
            <v>0</v>
          </cell>
        </row>
        <row r="218">
          <cell r="B218" t="str">
            <v>MAPPSP</v>
          </cell>
          <cell r="F218">
            <v>0</v>
          </cell>
        </row>
        <row r="219">
          <cell r="B219" t="str">
            <v>MSP</v>
          </cell>
          <cell r="C219">
            <v>3000</v>
          </cell>
          <cell r="D219">
            <v>1349.3</v>
          </cell>
          <cell r="E219">
            <v>0.029375</v>
          </cell>
          <cell r="F219">
            <v>-0.06976744186046513</v>
          </cell>
        </row>
        <row r="220">
          <cell r="B220" t="str">
            <v>MEI</v>
          </cell>
          <cell r="C220">
            <v>10638</v>
          </cell>
          <cell r="D220">
            <v>25.3</v>
          </cell>
          <cell r="E220">
            <v>0.01325</v>
          </cell>
          <cell r="F220">
            <v>0.052641994854541796</v>
          </cell>
        </row>
        <row r="221">
          <cell r="B221" t="str">
            <v>MDI</v>
          </cell>
          <cell r="C221">
            <v>1260</v>
          </cell>
          <cell r="D221">
            <v>6.3</v>
          </cell>
          <cell r="E221">
            <v>0.023749999999999997</v>
          </cell>
          <cell r="F221">
            <v>-0.10954063604240283</v>
          </cell>
        </row>
        <row r="222">
          <cell r="B222" t="str">
            <v>MFL</v>
          </cell>
          <cell r="C222">
            <v>381</v>
          </cell>
          <cell r="D222">
            <v>12</v>
          </cell>
          <cell r="E222">
            <v>0.07875</v>
          </cell>
          <cell r="F222">
            <v>-0.042713567839196</v>
          </cell>
        </row>
        <row r="223">
          <cell r="B223" t="str">
            <v>MIX</v>
          </cell>
          <cell r="C223">
            <v>659</v>
          </cell>
          <cell r="D223">
            <v>29.95</v>
          </cell>
          <cell r="E223">
            <v>0.0137</v>
          </cell>
          <cell r="F223">
            <v>0.06634304207119746</v>
          </cell>
        </row>
        <row r="224">
          <cell r="B224" t="str">
            <v>MMG</v>
          </cell>
          <cell r="C224">
            <v>1095</v>
          </cell>
          <cell r="D224">
            <v>6.8</v>
          </cell>
          <cell r="E224">
            <v>0.050249999999999996</v>
          </cell>
          <cell r="F224">
            <v>-0.022321428571428603</v>
          </cell>
        </row>
        <row r="225">
          <cell r="B225" t="str">
            <v>MMH</v>
          </cell>
          <cell r="F225">
            <v>0</v>
          </cell>
        </row>
        <row r="226">
          <cell r="B226" t="str">
            <v>MMI</v>
          </cell>
          <cell r="C226">
            <v>2100</v>
          </cell>
          <cell r="D226">
            <v>17.8</v>
          </cell>
          <cell r="E226">
            <v>0.07475000000000001</v>
          </cell>
          <cell r="F226">
            <v>0.04581673306772904</v>
          </cell>
        </row>
        <row r="227">
          <cell r="B227" t="str">
            <v>MML</v>
          </cell>
          <cell r="F227">
            <v>0</v>
          </cell>
        </row>
        <row r="228">
          <cell r="B228" t="str">
            <v>MMP</v>
          </cell>
          <cell r="F228">
            <v>0</v>
          </cell>
        </row>
        <row r="229">
          <cell r="B229" t="str">
            <v>MND</v>
          </cell>
          <cell r="C229">
            <v>31927</v>
          </cell>
          <cell r="D229">
            <v>16.25</v>
          </cell>
          <cell r="E229">
            <v>0.02575</v>
          </cell>
          <cell r="F229">
            <v>-0.017872523686477182</v>
          </cell>
        </row>
        <row r="230">
          <cell r="B230" t="str">
            <v>MNP</v>
          </cell>
          <cell r="C230">
            <v>31932</v>
          </cell>
          <cell r="D230">
            <v>16.3</v>
          </cell>
          <cell r="E230">
            <v>0.0258</v>
          </cell>
          <cell r="F230">
            <v>-0.01850371918608229</v>
          </cell>
        </row>
        <row r="231">
          <cell r="B231" t="str">
            <v>MNY</v>
          </cell>
          <cell r="F231">
            <v>0</v>
          </cell>
        </row>
        <row r="232">
          <cell r="B232" t="str">
            <v>MOR</v>
          </cell>
          <cell r="F232">
            <v>0</v>
          </cell>
        </row>
        <row r="233">
          <cell r="B233" t="str">
            <v>MRP</v>
          </cell>
          <cell r="C233">
            <v>24487</v>
          </cell>
          <cell r="D233">
            <v>24.7</v>
          </cell>
          <cell r="E233">
            <v>0.029375</v>
          </cell>
          <cell r="F233">
            <v>0.17720301908562086</v>
          </cell>
        </row>
        <row r="234">
          <cell r="B234" t="str">
            <v>MPT</v>
          </cell>
          <cell r="C234">
            <v>2440</v>
          </cell>
          <cell r="D234">
            <v>13.5</v>
          </cell>
          <cell r="E234">
            <v>0.03275</v>
          </cell>
          <cell r="F234">
            <v>0.03609341825902335</v>
          </cell>
        </row>
        <row r="235">
          <cell r="B235" t="str">
            <v>MRF</v>
          </cell>
          <cell r="C235">
            <v>149</v>
          </cell>
          <cell r="D235">
            <v>3.9</v>
          </cell>
          <cell r="E235">
            <v>0.0483</v>
          </cell>
          <cell r="F235">
            <v>-0.08024691358024694</v>
          </cell>
        </row>
        <row r="236">
          <cell r="B236" t="str">
            <v>MRI</v>
          </cell>
          <cell r="F236">
            <v>0</v>
          </cell>
        </row>
        <row r="237">
          <cell r="B237" t="str">
            <v>MSM</v>
          </cell>
          <cell r="C237">
            <v>13954</v>
          </cell>
          <cell r="D237">
            <v>23.2</v>
          </cell>
          <cell r="E237">
            <v>0.0215</v>
          </cell>
          <cell r="F237">
            <v>0.243007304471762</v>
          </cell>
        </row>
        <row r="238">
          <cell r="B238" t="str">
            <v>MSP</v>
          </cell>
          <cell r="F238">
            <v>0</v>
          </cell>
        </row>
        <row r="239">
          <cell r="B239" t="str">
            <v>MST</v>
          </cell>
          <cell r="F239">
            <v>0</v>
          </cell>
        </row>
        <row r="240">
          <cell r="B240" t="str">
            <v>MTA</v>
          </cell>
          <cell r="C240">
            <v>2150</v>
          </cell>
          <cell r="D240">
            <v>7.4</v>
          </cell>
          <cell r="E240">
            <v>0.0327</v>
          </cell>
          <cell r="F240">
            <v>0.1053984575835476</v>
          </cell>
        </row>
        <row r="241">
          <cell r="B241" t="str">
            <v>MTN</v>
          </cell>
          <cell r="C241">
            <v>13660</v>
          </cell>
          <cell r="D241">
            <v>33.2</v>
          </cell>
          <cell r="E241">
            <v>0.05125</v>
          </cell>
          <cell r="F241">
            <v>0.05670302467703259</v>
          </cell>
        </row>
        <row r="242">
          <cell r="B242" t="str">
            <v>MUR</v>
          </cell>
          <cell r="C242">
            <v>1211</v>
          </cell>
          <cell r="D242">
            <v>44.9</v>
          </cell>
          <cell r="E242">
            <v>0.037125</v>
          </cell>
          <cell r="F242">
            <v>-0.1318996415770609</v>
          </cell>
        </row>
        <row r="243">
          <cell r="B243" t="str">
            <v>MZR</v>
          </cell>
          <cell r="F243">
            <v>0</v>
          </cell>
        </row>
        <row r="244">
          <cell r="B244" t="str">
            <v>NCS</v>
          </cell>
          <cell r="F244">
            <v>0</v>
          </cell>
        </row>
        <row r="245">
          <cell r="B245" t="str">
            <v>NED</v>
          </cell>
          <cell r="C245">
            <v>25610</v>
          </cell>
          <cell r="D245">
            <v>10.8</v>
          </cell>
          <cell r="E245">
            <v>0.048374999999999994</v>
          </cell>
          <cell r="F245">
            <v>0.10722006052745359</v>
          </cell>
        </row>
        <row r="246">
          <cell r="B246" t="str">
            <v>NEP</v>
          </cell>
          <cell r="F246">
            <v>0</v>
          </cell>
        </row>
        <row r="247">
          <cell r="B247" t="str">
            <v>NEWFSA</v>
          </cell>
          <cell r="F247">
            <v>0</v>
          </cell>
        </row>
        <row r="248">
          <cell r="B248" t="str">
            <v>NFEMOM</v>
          </cell>
          <cell r="F248">
            <v>0</v>
          </cell>
        </row>
        <row r="249">
          <cell r="B249" t="str">
            <v>NFGOVI</v>
          </cell>
          <cell r="F249">
            <v>0</v>
          </cell>
        </row>
        <row r="250">
          <cell r="B250" t="str">
            <v>NFILBI</v>
          </cell>
          <cell r="F250">
            <v>0</v>
          </cell>
        </row>
        <row r="251">
          <cell r="B251" t="str">
            <v>NFSH40</v>
          </cell>
          <cell r="F251">
            <v>0</v>
          </cell>
        </row>
        <row r="252">
          <cell r="B252" t="str">
            <v>NFSWIX</v>
          </cell>
          <cell r="F252">
            <v>0</v>
          </cell>
        </row>
        <row r="253">
          <cell r="B253" t="str">
            <v>NEWUSD</v>
          </cell>
          <cell r="F253">
            <v>0</v>
          </cell>
        </row>
        <row r="254">
          <cell r="B254" t="str">
            <v>NFEMOM</v>
          </cell>
          <cell r="F254">
            <v>0</v>
          </cell>
        </row>
        <row r="255">
          <cell r="B255" t="str">
            <v>NGPLT</v>
          </cell>
          <cell r="F255">
            <v>0</v>
          </cell>
        </row>
        <row r="256">
          <cell r="B256" t="str">
            <v>NHM</v>
          </cell>
          <cell r="C256">
            <v>5227</v>
          </cell>
          <cell r="D256">
            <v>-28.7</v>
          </cell>
          <cell r="E256">
            <v>0</v>
          </cell>
          <cell r="F256">
            <v>0.049598393574297184</v>
          </cell>
        </row>
        <row r="257">
          <cell r="B257" t="str">
            <v>NIV</v>
          </cell>
          <cell r="C257">
            <v>999</v>
          </cell>
          <cell r="D257">
            <v>4.7</v>
          </cell>
          <cell r="E257">
            <v>0.022</v>
          </cell>
          <cell r="F257">
            <v>0.009090909090909038</v>
          </cell>
        </row>
        <row r="258">
          <cell r="B258" t="str">
            <v>NPK</v>
          </cell>
          <cell r="C258">
            <v>1622</v>
          </cell>
          <cell r="D258">
            <v>13.1</v>
          </cell>
          <cell r="E258">
            <v>0</v>
          </cell>
          <cell r="F258">
            <v>-0.09385474860335197</v>
          </cell>
        </row>
        <row r="259">
          <cell r="B259" t="str">
            <v>NPN</v>
          </cell>
          <cell r="C259">
            <v>345100</v>
          </cell>
          <cell r="D259">
            <v>100.5</v>
          </cell>
          <cell r="E259">
            <v>0.0017</v>
          </cell>
          <cell r="F259">
            <v>-0.06418888687017144</v>
          </cell>
        </row>
        <row r="260">
          <cell r="B260" t="str">
            <v>NRP</v>
          </cell>
          <cell r="C260">
            <v>21357</v>
          </cell>
          <cell r="D260">
            <v>0</v>
          </cell>
          <cell r="E260">
            <v>0.017249999999999998</v>
          </cell>
          <cell r="F260">
            <v>0.0009842519685039353</v>
          </cell>
        </row>
        <row r="261">
          <cell r="F261">
            <v>0</v>
          </cell>
        </row>
        <row r="262">
          <cell r="B262" t="str">
            <v>NTC</v>
          </cell>
          <cell r="C262">
            <v>2515</v>
          </cell>
          <cell r="D262">
            <v>22.9</v>
          </cell>
          <cell r="E262">
            <v>0.03775</v>
          </cell>
          <cell r="F262">
            <v>0.11777777777777776</v>
          </cell>
        </row>
        <row r="263">
          <cell r="B263" t="str">
            <v>NVS</v>
          </cell>
          <cell r="C263">
            <v>590</v>
          </cell>
          <cell r="D263">
            <v>4.9</v>
          </cell>
          <cell r="E263">
            <v>0.0957</v>
          </cell>
          <cell r="F263">
            <v>-0.11010558069381604</v>
          </cell>
        </row>
        <row r="264">
          <cell r="B264" t="str">
            <v>NWL</v>
          </cell>
          <cell r="F264">
            <v>0</v>
          </cell>
        </row>
        <row r="265">
          <cell r="B265" t="str">
            <v>OAO</v>
          </cell>
          <cell r="F265">
            <v>0</v>
          </cell>
        </row>
        <row r="266">
          <cell r="B266" t="str">
            <v>OAS</v>
          </cell>
          <cell r="F266">
            <v>0</v>
          </cell>
        </row>
        <row r="267">
          <cell r="B267" t="str">
            <v>OCE</v>
          </cell>
          <cell r="C267">
            <v>8500</v>
          </cell>
          <cell r="D267">
            <v>21.7</v>
          </cell>
          <cell r="E267">
            <v>0.010625</v>
          </cell>
          <cell r="F267">
            <v>0.03658536585365857</v>
          </cell>
        </row>
        <row r="268">
          <cell r="B268" t="str">
            <v>OCT</v>
          </cell>
          <cell r="C268">
            <v>1880</v>
          </cell>
          <cell r="D268">
            <v>11</v>
          </cell>
          <cell r="E268">
            <v>0.1094</v>
          </cell>
          <cell r="F268">
            <v>0.1026392961876832</v>
          </cell>
        </row>
        <row r="269">
          <cell r="B269" t="str">
            <v>OLG</v>
          </cell>
          <cell r="C269">
            <v>300</v>
          </cell>
          <cell r="D269">
            <v>10.1</v>
          </cell>
          <cell r="E269">
            <v>0.043375</v>
          </cell>
          <cell r="F269">
            <v>0</v>
          </cell>
        </row>
        <row r="270">
          <cell r="B270" t="str">
            <v>OML</v>
          </cell>
          <cell r="C270">
            <v>3800</v>
          </cell>
          <cell r="D270">
            <v>12.3</v>
          </cell>
          <cell r="E270">
            <v>0.03125</v>
          </cell>
          <cell r="F270">
            <v>0.04481715699752553</v>
          </cell>
        </row>
        <row r="271">
          <cell r="B271" t="str">
            <v>OMN</v>
          </cell>
          <cell r="C271">
            <v>14789</v>
          </cell>
          <cell r="D271">
            <v>15.1</v>
          </cell>
          <cell r="E271">
            <v>0.02575</v>
          </cell>
          <cell r="F271">
            <v>-0.0020917678812415463</v>
          </cell>
        </row>
        <row r="272">
          <cell r="B272" t="str">
            <v>OPI</v>
          </cell>
          <cell r="F272">
            <v>0</v>
          </cell>
        </row>
        <row r="273">
          <cell r="B273" t="str">
            <v>ORE</v>
          </cell>
          <cell r="F273">
            <v>0</v>
          </cell>
        </row>
        <row r="274">
          <cell r="B274" t="str">
            <v>PAM</v>
          </cell>
          <cell r="F274">
            <v>0</v>
          </cell>
        </row>
        <row r="275">
          <cell r="B275" t="str">
            <v>PAN</v>
          </cell>
          <cell r="C275">
            <v>240</v>
          </cell>
          <cell r="D275">
            <v>11.85</v>
          </cell>
          <cell r="E275">
            <v>0.0346</v>
          </cell>
          <cell r="F275">
            <v>-0.11439114391143912</v>
          </cell>
        </row>
        <row r="276">
          <cell r="B276" t="str">
            <v>PCT</v>
          </cell>
          <cell r="F276">
            <v>0</v>
          </cell>
        </row>
        <row r="277">
          <cell r="B277" t="str">
            <v>PET</v>
          </cell>
          <cell r="F277">
            <v>0</v>
          </cell>
        </row>
        <row r="278">
          <cell r="B278" t="str">
            <v>PFG</v>
          </cell>
          <cell r="C278">
            <v>13708</v>
          </cell>
          <cell r="D278">
            <v>33.4</v>
          </cell>
          <cell r="E278">
            <v>0.026625</v>
          </cell>
          <cell r="F278">
            <v>0.04641221374045812</v>
          </cell>
        </row>
        <row r="279">
          <cell r="B279" t="str">
            <v>PGL</v>
          </cell>
          <cell r="C279">
            <v>300</v>
          </cell>
          <cell r="D279">
            <v>33.4</v>
          </cell>
          <cell r="E279">
            <v>0</v>
          </cell>
          <cell r="F279">
            <v>0.19999999999999996</v>
          </cell>
        </row>
        <row r="280">
          <cell r="B280" t="str">
            <v>PGR</v>
          </cell>
          <cell r="C280">
            <v>2554</v>
          </cell>
          <cell r="D280">
            <v>13.4</v>
          </cell>
          <cell r="E280">
            <v>0.0495</v>
          </cell>
          <cell r="F280">
            <v>-0.0427286356821589</v>
          </cell>
        </row>
        <row r="281">
          <cell r="B281" t="str">
            <v>PHM</v>
          </cell>
          <cell r="F281">
            <v>0</v>
          </cell>
        </row>
        <row r="282">
          <cell r="B282" t="str">
            <v>PIK</v>
          </cell>
          <cell r="C282">
            <v>6956</v>
          </cell>
          <cell r="D282">
            <v>28.5</v>
          </cell>
          <cell r="E282">
            <v>0.025875</v>
          </cell>
          <cell r="F282">
            <v>0.09285153181461125</v>
          </cell>
        </row>
        <row r="283">
          <cell r="B283" t="str">
            <v>PTXTEN</v>
          </cell>
          <cell r="F283">
            <v>0</v>
          </cell>
        </row>
        <row r="284">
          <cell r="B284" t="str">
            <v>PWK</v>
          </cell>
          <cell r="F284">
            <v>0</v>
          </cell>
        </row>
        <row r="285">
          <cell r="B285" t="str">
            <v>PMM</v>
          </cell>
          <cell r="F285">
            <v>0</v>
          </cell>
        </row>
        <row r="286">
          <cell r="B286" t="str">
            <v>PMV</v>
          </cell>
          <cell r="F286">
            <v>0</v>
          </cell>
        </row>
        <row r="287">
          <cell r="B287" t="str">
            <v>PNC</v>
          </cell>
          <cell r="F287">
            <v>0</v>
          </cell>
        </row>
        <row r="288">
          <cell r="B288" t="str">
            <v>PIV</v>
          </cell>
          <cell r="F288">
            <v>0</v>
          </cell>
        </row>
        <row r="289">
          <cell r="B289" t="str">
            <v>POY</v>
          </cell>
          <cell r="F289">
            <v>0</v>
          </cell>
        </row>
        <row r="290">
          <cell r="B290" t="str">
            <v>PPC</v>
          </cell>
          <cell r="C290">
            <v>697</v>
          </cell>
          <cell r="D290">
            <v>58.1</v>
          </cell>
          <cell r="E290">
            <v>0</v>
          </cell>
          <cell r="F290">
            <v>-0.004285714285714337</v>
          </cell>
        </row>
        <row r="291">
          <cell r="B291" t="str">
            <v>PPE</v>
          </cell>
          <cell r="C291">
            <v>35</v>
          </cell>
          <cell r="D291">
            <v>-5.5</v>
          </cell>
          <cell r="E291">
            <v>0</v>
          </cell>
          <cell r="F291">
            <v>0</v>
          </cell>
        </row>
        <row r="292">
          <cell r="B292" t="str">
            <v>PPR</v>
          </cell>
          <cell r="F292">
            <v>0</v>
          </cell>
        </row>
        <row r="293">
          <cell r="B293" t="str">
            <v>PREFTX</v>
          </cell>
          <cell r="F293">
            <v>0</v>
          </cell>
        </row>
        <row r="294">
          <cell r="B294" t="str">
            <v>PSG</v>
          </cell>
          <cell r="C294">
            <v>27000</v>
          </cell>
          <cell r="D294">
            <v>30.2</v>
          </cell>
          <cell r="E294">
            <v>0.014374999999999999</v>
          </cell>
          <cell r="F294">
            <v>-0.06870860927152322</v>
          </cell>
        </row>
        <row r="295">
          <cell r="B295" t="str">
            <v>PZG</v>
          </cell>
          <cell r="F295">
            <v>0</v>
          </cell>
        </row>
        <row r="296">
          <cell r="B296" t="str">
            <v>QFH</v>
          </cell>
          <cell r="C296">
            <v>369</v>
          </cell>
          <cell r="D296">
            <v>7.5</v>
          </cell>
          <cell r="E296">
            <v>0.092125</v>
          </cell>
          <cell r="F296">
            <v>0.06956521739130439</v>
          </cell>
        </row>
        <row r="297">
          <cell r="B297" t="str">
            <v>PTXTEN</v>
          </cell>
          <cell r="F297">
            <v>0</v>
          </cell>
        </row>
        <row r="298">
          <cell r="B298" t="str">
            <v>PWK</v>
          </cell>
          <cell r="F298">
            <v>0</v>
          </cell>
        </row>
        <row r="299">
          <cell r="B299" t="str">
            <v>PZG</v>
          </cell>
          <cell r="F299">
            <v>0</v>
          </cell>
        </row>
        <row r="300">
          <cell r="B300" t="str">
            <v>QPG</v>
          </cell>
          <cell r="F300">
            <v>0</v>
          </cell>
        </row>
        <row r="301">
          <cell r="B301" t="str">
            <v>RACP</v>
          </cell>
          <cell r="F301">
            <v>0</v>
          </cell>
        </row>
        <row r="302">
          <cell r="B302" t="str">
            <v>RAFFIN</v>
          </cell>
          <cell r="F302">
            <v>0</v>
          </cell>
        </row>
        <row r="303">
          <cell r="B303" t="str">
            <v>RAFIND</v>
          </cell>
          <cell r="F303">
            <v>0</v>
          </cell>
        </row>
        <row r="304">
          <cell r="B304" t="str">
            <v>RAFISA</v>
          </cell>
          <cell r="F304">
            <v>0</v>
          </cell>
        </row>
        <row r="305">
          <cell r="B305" t="str">
            <v>RAFRES</v>
          </cell>
          <cell r="F305">
            <v>0</v>
          </cell>
        </row>
        <row r="306">
          <cell r="B306" t="str">
            <v>RAR</v>
          </cell>
          <cell r="F306">
            <v>0</v>
          </cell>
        </row>
        <row r="307">
          <cell r="B307" t="str">
            <v>RBA</v>
          </cell>
          <cell r="F307">
            <v>0</v>
          </cell>
        </row>
        <row r="308">
          <cell r="B308" t="str">
            <v>RBP</v>
          </cell>
          <cell r="C308">
            <v>2800</v>
          </cell>
          <cell r="D308">
            <v>-437.5</v>
          </cell>
          <cell r="E308">
            <v>0</v>
          </cell>
          <cell r="F308">
            <v>-0.11392405063291144</v>
          </cell>
        </row>
        <row r="309">
          <cell r="B309" t="str">
            <v>RBX</v>
          </cell>
          <cell r="F309">
            <v>0</v>
          </cell>
        </row>
        <row r="310">
          <cell r="B310" t="str">
            <v>RCL</v>
          </cell>
          <cell r="C310">
            <v>1520</v>
          </cell>
          <cell r="D310">
            <v>23.9</v>
          </cell>
          <cell r="E310">
            <v>0.01975</v>
          </cell>
          <cell r="F310">
            <v>0.03401360544217691</v>
          </cell>
        </row>
        <row r="311">
          <cell r="B311" t="str">
            <v>RDF</v>
          </cell>
          <cell r="C311">
            <v>1070</v>
          </cell>
          <cell r="D311">
            <v>12.8</v>
          </cell>
          <cell r="E311">
            <v>0.087</v>
          </cell>
          <cell r="F311">
            <v>0.05731225296442677</v>
          </cell>
        </row>
        <row r="312">
          <cell r="B312" t="str">
            <v>RDI</v>
          </cell>
          <cell r="F312">
            <v>0</v>
          </cell>
        </row>
        <row r="313">
          <cell r="B313" t="str">
            <v>REN</v>
          </cell>
          <cell r="C313">
            <v>995</v>
          </cell>
          <cell r="D313">
            <v>-31.5</v>
          </cell>
          <cell r="E313">
            <v>0</v>
          </cell>
          <cell r="F313">
            <v>-0.20399999999999996</v>
          </cell>
        </row>
        <row r="314">
          <cell r="B314" t="str">
            <v>RNI</v>
          </cell>
          <cell r="C314">
            <v>27400</v>
          </cell>
          <cell r="D314">
            <v>-41.8</v>
          </cell>
          <cell r="E314">
            <v>0.0095</v>
          </cell>
          <cell r="F314">
            <v>-0.05517241379310345</v>
          </cell>
        </row>
        <row r="315">
          <cell r="B315" t="str">
            <v>REM</v>
          </cell>
          <cell r="C315">
            <v>23600</v>
          </cell>
          <cell r="D315">
            <v>15.9</v>
          </cell>
          <cell r="E315">
            <v>0.020999999999999998</v>
          </cell>
          <cell r="F315">
            <v>0.10280373831775691</v>
          </cell>
        </row>
        <row r="316">
          <cell r="B316" t="str">
            <v>RES</v>
          </cell>
          <cell r="C316">
            <v>15116</v>
          </cell>
          <cell r="D316">
            <v>22</v>
          </cell>
          <cell r="E316">
            <v>0.0383</v>
          </cell>
          <cell r="F316">
            <v>0.03307818480043734</v>
          </cell>
        </row>
        <row r="317">
          <cell r="B317" t="str">
            <v>RLF</v>
          </cell>
          <cell r="C317">
            <v>279</v>
          </cell>
          <cell r="D317">
            <v>10.2</v>
          </cell>
          <cell r="E317">
            <v>0.028624999999999998</v>
          </cell>
          <cell r="F317">
            <v>0.025735294117646967</v>
          </cell>
        </row>
        <row r="318">
          <cell r="B318" t="str">
            <v>RLO</v>
          </cell>
          <cell r="C318">
            <v>7210</v>
          </cell>
          <cell r="D318">
            <v>10.6</v>
          </cell>
          <cell r="E318">
            <v>0.0658</v>
          </cell>
          <cell r="F318">
            <v>0.027065527065527117</v>
          </cell>
        </row>
        <row r="319">
          <cell r="B319" t="str">
            <v>RFG</v>
          </cell>
          <cell r="C319">
            <v>2240</v>
          </cell>
          <cell r="D319">
            <v>23.13</v>
          </cell>
          <cell r="E319">
            <v>0.0139</v>
          </cell>
          <cell r="F319">
            <v>0.1200000000000001</v>
          </cell>
        </row>
        <row r="320">
          <cell r="B320" t="str">
            <v>RMBMID</v>
          </cell>
          <cell r="F320">
            <v>0</v>
          </cell>
        </row>
        <row r="321">
          <cell r="B321" t="str">
            <v>RMBT40</v>
          </cell>
          <cell r="F321">
            <v>0</v>
          </cell>
        </row>
        <row r="322">
          <cell r="B322" t="str">
            <v>RMH</v>
          </cell>
          <cell r="C322">
            <v>7917</v>
          </cell>
          <cell r="D322">
            <v>14.1</v>
          </cell>
          <cell r="E322">
            <v>0.04125</v>
          </cell>
          <cell r="F322">
            <v>0.18305439330543938</v>
          </cell>
        </row>
        <row r="323">
          <cell r="B323" t="str">
            <v>RMI</v>
          </cell>
          <cell r="C323">
            <v>4590</v>
          </cell>
          <cell r="D323">
            <v>19.6</v>
          </cell>
          <cell r="E323">
            <v>0.02575</v>
          </cell>
          <cell r="F323">
            <v>0.08203677510608198</v>
          </cell>
        </row>
        <row r="324">
          <cell r="B324" t="str">
            <v>RNG</v>
          </cell>
          <cell r="F324">
            <v>0</v>
          </cell>
        </row>
        <row r="325">
          <cell r="B325" t="str">
            <v>ROC</v>
          </cell>
          <cell r="F325">
            <v>0</v>
          </cell>
        </row>
        <row r="326">
          <cell r="B326" t="str">
            <v>RPL</v>
          </cell>
          <cell r="C326">
            <v>612</v>
          </cell>
          <cell r="D326">
            <v>13.7</v>
          </cell>
          <cell r="E326">
            <v>0.07275</v>
          </cell>
          <cell r="F326">
            <v>-0.06422018348623848</v>
          </cell>
        </row>
        <row r="327">
          <cell r="B327" t="str">
            <v>RSG</v>
          </cell>
          <cell r="F327">
            <v>0</v>
          </cell>
        </row>
        <row r="328">
          <cell r="B328" t="str">
            <v>RTN</v>
          </cell>
          <cell r="F328">
            <v>0</v>
          </cell>
        </row>
        <row r="329">
          <cell r="B329" t="str">
            <v>RTO</v>
          </cell>
          <cell r="F329">
            <v>0</v>
          </cell>
        </row>
        <row r="330">
          <cell r="F330">
            <v>0</v>
          </cell>
        </row>
        <row r="331">
          <cell r="B331" t="str">
            <v>SAC</v>
          </cell>
          <cell r="C331">
            <v>481</v>
          </cell>
          <cell r="D331">
            <v>11</v>
          </cell>
          <cell r="E331">
            <v>0.0918</v>
          </cell>
          <cell r="F331">
            <v>0.02123142250530785</v>
          </cell>
        </row>
        <row r="332">
          <cell r="B332" t="str">
            <v>SAH</v>
          </cell>
          <cell r="F332">
            <v>0</v>
          </cell>
        </row>
        <row r="333">
          <cell r="B333" t="str">
            <v>SAN</v>
          </cell>
          <cell r="F333">
            <v>0</v>
          </cell>
        </row>
        <row r="334">
          <cell r="B334" t="str">
            <v>SAP</v>
          </cell>
          <cell r="C334">
            <v>8950</v>
          </cell>
          <cell r="D334">
            <v>10.6</v>
          </cell>
          <cell r="E334">
            <v>0.024125</v>
          </cell>
          <cell r="F334">
            <v>-0.08006989413094867</v>
          </cell>
        </row>
        <row r="335">
          <cell r="B335" t="str">
            <v>SAR</v>
          </cell>
          <cell r="C335">
            <v>650</v>
          </cell>
          <cell r="D335">
            <v>21.2</v>
          </cell>
          <cell r="E335">
            <v>0.1041</v>
          </cell>
          <cell r="F335">
            <v>-0.10344827586206895</v>
          </cell>
        </row>
        <row r="336">
          <cell r="B336" t="str">
            <v>SBK</v>
          </cell>
          <cell r="C336">
            <v>19566</v>
          </cell>
          <cell r="D336">
            <v>12.9</v>
          </cell>
          <cell r="E336">
            <v>0.042874999999999996</v>
          </cell>
          <cell r="F336">
            <v>0.13098265895953753</v>
          </cell>
        </row>
        <row r="337">
          <cell r="B337" t="str">
            <v>SCP</v>
          </cell>
          <cell r="C337">
            <v>52</v>
          </cell>
          <cell r="D337">
            <v>-0.8</v>
          </cell>
          <cell r="E337">
            <v>0</v>
          </cell>
          <cell r="F337">
            <v>-0.11864406779661019</v>
          </cell>
        </row>
        <row r="338">
          <cell r="B338" t="str">
            <v>SCL</v>
          </cell>
          <cell r="F338">
            <v>0</v>
          </cell>
        </row>
        <row r="339">
          <cell r="B339" t="str">
            <v>SEP</v>
          </cell>
          <cell r="C339">
            <v>286</v>
          </cell>
          <cell r="D339">
            <v>10.17</v>
          </cell>
          <cell r="E339">
            <v>0</v>
          </cell>
          <cell r="F339">
            <v>0.0792452830188679</v>
          </cell>
        </row>
        <row r="340">
          <cell r="B340" t="str">
            <v>SRR</v>
          </cell>
          <cell r="C340">
            <v>1582</v>
          </cell>
          <cell r="D340">
            <v>-33.4</v>
          </cell>
          <cell r="E340">
            <v>0.024624999999999998</v>
          </cell>
          <cell r="F340">
            <v>-0.3759368836291913</v>
          </cell>
        </row>
        <row r="341">
          <cell r="B341" t="str">
            <v>SFN</v>
          </cell>
          <cell r="C341">
            <v>5236</v>
          </cell>
          <cell r="D341">
            <v>8.6</v>
          </cell>
          <cell r="E341">
            <v>0.045875</v>
          </cell>
          <cell r="F341">
            <v>0.20367816091954016</v>
          </cell>
        </row>
        <row r="342">
          <cell r="B342" t="str">
            <v>SDO</v>
          </cell>
          <cell r="C342">
            <v>805</v>
          </cell>
          <cell r="D342">
            <v>0</v>
          </cell>
          <cell r="E342">
            <v>0</v>
          </cell>
          <cell r="F342">
            <v>-0.05294117647058827</v>
          </cell>
        </row>
        <row r="343">
          <cell r="B343" t="str">
            <v>SDC</v>
          </cell>
          <cell r="C343">
            <v>325</v>
          </cell>
          <cell r="D343">
            <v>23.49</v>
          </cell>
          <cell r="E343">
            <v>0</v>
          </cell>
          <cell r="F343">
            <v>0</v>
          </cell>
        </row>
        <row r="344">
          <cell r="B344" t="str">
            <v>SGL</v>
          </cell>
          <cell r="C344">
            <v>1578</v>
          </cell>
          <cell r="D344">
            <v>-33.4</v>
          </cell>
          <cell r="E344">
            <v>0.024624999999999998</v>
          </cell>
          <cell r="F344">
            <v>-0.15929675013319122</v>
          </cell>
        </row>
        <row r="345">
          <cell r="B345" t="str">
            <v>SHB</v>
          </cell>
          <cell r="F345">
            <v>0</v>
          </cell>
        </row>
        <row r="346">
          <cell r="B346" t="str">
            <v>SNH</v>
          </cell>
          <cell r="C346">
            <v>465</v>
          </cell>
          <cell r="D346">
            <v>1.1</v>
          </cell>
          <cell r="E346">
            <v>0.40024999999999994</v>
          </cell>
          <cell r="F346">
            <v>-0.9173480270174191</v>
          </cell>
        </row>
        <row r="347">
          <cell r="B347" t="str">
            <v>SHP</v>
          </cell>
          <cell r="C347">
            <v>22119</v>
          </cell>
          <cell r="D347">
            <v>21.6</v>
          </cell>
          <cell r="E347">
            <v>0.02275</v>
          </cell>
          <cell r="F347">
            <v>-0.029229756418696518</v>
          </cell>
        </row>
        <row r="348">
          <cell r="B348" t="str">
            <v>SHPCB</v>
          </cell>
          <cell r="F348">
            <v>0</v>
          </cell>
        </row>
        <row r="349">
          <cell r="B349" t="str">
            <v>SKJ</v>
          </cell>
          <cell r="F349">
            <v>0</v>
          </cell>
        </row>
        <row r="350">
          <cell r="B350" t="str">
            <v>SKY</v>
          </cell>
          <cell r="F350">
            <v>0</v>
          </cell>
        </row>
        <row r="351">
          <cell r="B351" t="str">
            <v>SLM</v>
          </cell>
          <cell r="C351">
            <v>8700</v>
          </cell>
          <cell r="D351">
            <v>19.7</v>
          </cell>
          <cell r="E351">
            <v>0.03075</v>
          </cell>
          <cell r="F351">
            <v>0.1116790186557628</v>
          </cell>
        </row>
        <row r="352">
          <cell r="B352" t="str">
            <v>SLP</v>
          </cell>
          <cell r="F352">
            <v>0</v>
          </cell>
        </row>
        <row r="353">
          <cell r="B353" t="str">
            <v>SNT</v>
          </cell>
          <cell r="C353">
            <v>26704</v>
          </cell>
          <cell r="D353">
            <v>25.1</v>
          </cell>
          <cell r="E353">
            <v>0.033874999999999995</v>
          </cell>
          <cell r="F353">
            <v>0.03183925811437405</v>
          </cell>
        </row>
        <row r="354">
          <cell r="B354" t="str">
            <v>SNU</v>
          </cell>
          <cell r="F354">
            <v>0</v>
          </cell>
        </row>
        <row r="355">
          <cell r="B355" t="str">
            <v>SNV</v>
          </cell>
          <cell r="C355">
            <v>308</v>
          </cell>
          <cell r="D355">
            <v>7.33</v>
          </cell>
          <cell r="E355">
            <v>0.0202</v>
          </cell>
          <cell r="F355">
            <v>-0.05810397553516822</v>
          </cell>
        </row>
        <row r="356">
          <cell r="B356" t="str">
            <v>SOH</v>
          </cell>
          <cell r="F356">
            <v>0</v>
          </cell>
        </row>
        <row r="357">
          <cell r="B357" t="str">
            <v>SOL</v>
          </cell>
          <cell r="C357">
            <v>42818</v>
          </cell>
          <cell r="D357">
            <v>12.2</v>
          </cell>
          <cell r="E357">
            <v>0.029375</v>
          </cell>
          <cell r="F357">
            <v>-0.0042325581395349365</v>
          </cell>
        </row>
        <row r="358">
          <cell r="B358" t="str">
            <v>SOLBE1</v>
          </cell>
          <cell r="F358">
            <v>0</v>
          </cell>
        </row>
        <row r="359">
          <cell r="B359" t="str">
            <v>SOV</v>
          </cell>
          <cell r="F359">
            <v>0</v>
          </cell>
        </row>
        <row r="360">
          <cell r="B360" t="str">
            <v>SSS</v>
          </cell>
          <cell r="C360">
            <v>1250</v>
          </cell>
          <cell r="D360">
            <v>10.1</v>
          </cell>
          <cell r="E360">
            <v>0.069</v>
          </cell>
          <cell r="F360">
            <v>-0.007936507936507908</v>
          </cell>
        </row>
        <row r="361">
          <cell r="B361" t="str">
            <v>SPG</v>
          </cell>
          <cell r="C361">
            <v>4135</v>
          </cell>
          <cell r="D361">
            <v>14.27</v>
          </cell>
          <cell r="E361">
            <v>0</v>
          </cell>
          <cell r="F361">
            <v>0.036340852130325896</v>
          </cell>
        </row>
        <row r="362">
          <cell r="B362" t="str">
            <v>SPP</v>
          </cell>
          <cell r="C362">
            <v>20333</v>
          </cell>
          <cell r="D362">
            <v>21.3</v>
          </cell>
          <cell r="E362">
            <v>0.033249999999999995</v>
          </cell>
          <cell r="F362">
            <v>0.07128556375131723</v>
          </cell>
        </row>
        <row r="363">
          <cell r="B363" t="str">
            <v>SQE</v>
          </cell>
          <cell r="F363">
            <v>0</v>
          </cell>
        </row>
        <row r="364">
          <cell r="B364" t="str">
            <v>S32</v>
          </cell>
          <cell r="C364">
            <v>3400</v>
          </cell>
          <cell r="D364">
            <v>10.8</v>
          </cell>
          <cell r="E364">
            <v>0.038125</v>
          </cell>
          <cell r="F364">
            <v>0.029055690072639306</v>
          </cell>
        </row>
        <row r="365">
          <cell r="B365" t="str">
            <v>SRE</v>
          </cell>
          <cell r="C365">
            <v>1115</v>
          </cell>
          <cell r="D365">
            <v>23.2</v>
          </cell>
          <cell r="E365">
            <v>0.04324999999999999</v>
          </cell>
          <cell r="F365">
            <v>-0.0708333333333333</v>
          </cell>
        </row>
        <row r="366">
          <cell r="B366" t="str">
            <v>STA</v>
          </cell>
          <cell r="F366">
            <v>0</v>
          </cell>
        </row>
        <row r="367">
          <cell r="B367" t="str">
            <v>STAN40</v>
          </cell>
          <cell r="F367">
            <v>0</v>
          </cell>
        </row>
        <row r="368">
          <cell r="B368" t="str">
            <v>STANSX</v>
          </cell>
          <cell r="F368">
            <v>0</v>
          </cell>
        </row>
        <row r="369">
          <cell r="B369" t="str">
            <v>STPROP</v>
          </cell>
          <cell r="F369">
            <v>0</v>
          </cell>
        </row>
        <row r="370">
          <cell r="B370" t="str">
            <v>STX40</v>
          </cell>
          <cell r="F370">
            <v>0</v>
          </cell>
        </row>
        <row r="371">
          <cell r="B371" t="str">
            <v>STXDIV</v>
          </cell>
          <cell r="F371">
            <v>0</v>
          </cell>
        </row>
        <row r="372">
          <cell r="B372" t="str">
            <v>STXFIN</v>
          </cell>
          <cell r="F372">
            <v>0</v>
          </cell>
        </row>
        <row r="373">
          <cell r="B373" t="str">
            <v>STXIND</v>
          </cell>
          <cell r="F373">
            <v>0</v>
          </cell>
        </row>
        <row r="374">
          <cell r="B374" t="str">
            <v>STXRAF</v>
          </cell>
          <cell r="F374">
            <v>0</v>
          </cell>
        </row>
        <row r="375">
          <cell r="B375" t="str">
            <v>STXRES</v>
          </cell>
          <cell r="F375">
            <v>0</v>
          </cell>
        </row>
        <row r="376">
          <cell r="B376" t="str">
            <v>STXSWX</v>
          </cell>
          <cell r="F376">
            <v>0</v>
          </cell>
        </row>
        <row r="377">
          <cell r="B377" t="str">
            <v>SUI</v>
          </cell>
          <cell r="C377">
            <v>6046</v>
          </cell>
          <cell r="D377">
            <v>13.1</v>
          </cell>
          <cell r="E377">
            <v>0.019</v>
          </cell>
          <cell r="F377">
            <v>0.10611050128064403</v>
          </cell>
        </row>
        <row r="378">
          <cell r="B378" t="str">
            <v>SUR</v>
          </cell>
          <cell r="C378">
            <v>2750</v>
          </cell>
          <cell r="D378">
            <v>19.7</v>
          </cell>
          <cell r="E378">
            <v>0.048</v>
          </cell>
          <cell r="F378">
            <v>0.04166666666666674</v>
          </cell>
        </row>
        <row r="379">
          <cell r="B379" t="str">
            <v>SVB</v>
          </cell>
          <cell r="F379">
            <v>0</v>
          </cell>
        </row>
        <row r="380">
          <cell r="B380" t="str">
            <v>SVF</v>
          </cell>
          <cell r="F380">
            <v>0</v>
          </cell>
        </row>
        <row r="381">
          <cell r="B381" t="str">
            <v>SYCR</v>
          </cell>
          <cell r="F381">
            <v>0</v>
          </cell>
        </row>
        <row r="382">
          <cell r="B382" t="str">
            <v>SVFB</v>
          </cell>
          <cell r="F382">
            <v>0</v>
          </cell>
        </row>
        <row r="383">
          <cell r="B383" t="str">
            <v>SYG</v>
          </cell>
          <cell r="C383">
            <v>1400</v>
          </cell>
          <cell r="D383">
            <v>20.1</v>
          </cell>
          <cell r="E383">
            <v>0.0425</v>
          </cell>
          <cell r="F383">
            <v>-0.020979020979020935</v>
          </cell>
        </row>
        <row r="384">
          <cell r="B384" t="str">
            <v>SYC</v>
          </cell>
          <cell r="F384">
            <v>0</v>
          </cell>
        </row>
        <row r="385">
          <cell r="B385" t="str">
            <v>TAS</v>
          </cell>
          <cell r="C385">
            <v>67</v>
          </cell>
          <cell r="D385">
            <v>-2.1</v>
          </cell>
          <cell r="E385">
            <v>0</v>
          </cell>
          <cell r="F385">
            <v>-0.11842105263157898</v>
          </cell>
        </row>
        <row r="386">
          <cell r="B386" t="str">
            <v>TBG</v>
          </cell>
          <cell r="F386">
            <v>0</v>
          </cell>
        </row>
        <row r="387">
          <cell r="B387" t="str">
            <v>TBS</v>
          </cell>
          <cell r="C387">
            <v>46000</v>
          </cell>
          <cell r="D387">
            <v>21.3</v>
          </cell>
          <cell r="E387">
            <v>0.0235</v>
          </cell>
          <cell r="F387">
            <v>0.10187558387429041</v>
          </cell>
        </row>
        <row r="388">
          <cell r="B388" t="str">
            <v>TEX</v>
          </cell>
          <cell r="C388">
            <v>640</v>
          </cell>
          <cell r="D388">
            <v>5.44</v>
          </cell>
          <cell r="E388">
            <v>0.1606</v>
          </cell>
          <cell r="F388">
            <v>-0.007751937984496138</v>
          </cell>
        </row>
        <row r="389">
          <cell r="B389" t="str">
            <v>TCP</v>
          </cell>
          <cell r="C389">
            <v>1670</v>
          </cell>
          <cell r="D389">
            <v>18</v>
          </cell>
          <cell r="E389">
            <v>0.023999999999999997</v>
          </cell>
          <cell r="F389">
            <v>0.11333333333333329</v>
          </cell>
        </row>
        <row r="390">
          <cell r="B390" t="str">
            <v>TDH</v>
          </cell>
          <cell r="C390">
            <v>1800</v>
          </cell>
          <cell r="D390">
            <v>19.1</v>
          </cell>
          <cell r="E390">
            <v>0.0055</v>
          </cell>
          <cell r="F390">
            <v>0.016949152542372836</v>
          </cell>
        </row>
        <row r="391">
          <cell r="B391" t="str">
            <v>TFG</v>
          </cell>
          <cell r="C391">
            <v>19733</v>
          </cell>
          <cell r="D391">
            <v>18.2</v>
          </cell>
          <cell r="E391">
            <v>0.03675</v>
          </cell>
          <cell r="F391">
            <v>0.24892405063291134</v>
          </cell>
        </row>
        <row r="392">
          <cell r="B392" t="str">
            <v>THA</v>
          </cell>
          <cell r="F392">
            <v>0</v>
          </cell>
        </row>
        <row r="393">
          <cell r="B393" t="str">
            <v>TKG</v>
          </cell>
          <cell r="C393">
            <v>4812</v>
          </cell>
          <cell r="D393">
            <v>7</v>
          </cell>
          <cell r="E393">
            <v>0.085</v>
          </cell>
          <cell r="F393">
            <v>-0.029055690072639195</v>
          </cell>
        </row>
        <row r="394">
          <cell r="B394" t="str">
            <v>TLM</v>
          </cell>
          <cell r="F394">
            <v>0</v>
          </cell>
        </row>
        <row r="395">
          <cell r="B395" t="str">
            <v>TRL</v>
          </cell>
          <cell r="C395">
            <v>540</v>
          </cell>
          <cell r="D395">
            <v>9.12</v>
          </cell>
          <cell r="E395">
            <v>0.0556</v>
          </cell>
          <cell r="F395">
            <v>-0.012797074954296161</v>
          </cell>
        </row>
        <row r="396">
          <cell r="B396" t="str">
            <v>TMT</v>
          </cell>
          <cell r="C396">
            <v>300</v>
          </cell>
          <cell r="D396">
            <v>15</v>
          </cell>
          <cell r="E396">
            <v>0.0167</v>
          </cell>
          <cell r="F396">
            <v>0.10701107011070121</v>
          </cell>
        </row>
        <row r="397">
          <cell r="B397" t="str">
            <v>TON</v>
          </cell>
          <cell r="C397">
            <v>11463</v>
          </cell>
          <cell r="D397">
            <v>13</v>
          </cell>
          <cell r="E397">
            <v>0.026124999999999995</v>
          </cell>
          <cell r="F397">
            <v>0.07917529655432132</v>
          </cell>
        </row>
        <row r="398">
          <cell r="B398" t="str">
            <v>TOR</v>
          </cell>
          <cell r="C398">
            <v>100</v>
          </cell>
          <cell r="D398">
            <v>9.3</v>
          </cell>
          <cell r="E398">
            <v>0.03</v>
          </cell>
          <cell r="F398">
            <v>0.010101010101010166</v>
          </cell>
        </row>
        <row r="399">
          <cell r="B399" t="str">
            <v>TPC</v>
          </cell>
          <cell r="C399">
            <v>2200</v>
          </cell>
          <cell r="D399">
            <v>8.38</v>
          </cell>
          <cell r="E399">
            <v>0.0545</v>
          </cell>
          <cell r="F399">
            <v>0.01382488479262678</v>
          </cell>
        </row>
        <row r="400">
          <cell r="B400" t="str">
            <v>TRE</v>
          </cell>
          <cell r="C400">
            <v>4800</v>
          </cell>
          <cell r="D400">
            <v>-18.8</v>
          </cell>
          <cell r="E400">
            <v>0.020874999999999998</v>
          </cell>
          <cell r="F400">
            <v>-0.03614457831325302</v>
          </cell>
        </row>
        <row r="401">
          <cell r="B401" t="str">
            <v>TRU</v>
          </cell>
          <cell r="C401">
            <v>9447</v>
          </cell>
          <cell r="D401">
            <v>14.3</v>
          </cell>
          <cell r="E401">
            <v>0.047875</v>
          </cell>
          <cell r="F401">
            <v>0.18057985503624097</v>
          </cell>
        </row>
        <row r="402">
          <cell r="B402" t="str">
            <v>TSH</v>
          </cell>
          <cell r="C402">
            <v>2436</v>
          </cell>
          <cell r="D402">
            <v>10.5</v>
          </cell>
          <cell r="E402">
            <v>0.041875</v>
          </cell>
          <cell r="F402">
            <v>0.11691884456671242</v>
          </cell>
        </row>
        <row r="403">
          <cell r="B403" t="str">
            <v>TSX</v>
          </cell>
          <cell r="C403">
            <v>159</v>
          </cell>
          <cell r="D403">
            <v>-0.5</v>
          </cell>
          <cell r="E403">
            <v>0</v>
          </cell>
          <cell r="F403">
            <v>-0.20100502512562812</v>
          </cell>
        </row>
        <row r="404">
          <cell r="B404" t="str">
            <v>TTO</v>
          </cell>
          <cell r="C404">
            <v>890</v>
          </cell>
          <cell r="D404">
            <v>15.8</v>
          </cell>
          <cell r="E404">
            <v>0.0088</v>
          </cell>
          <cell r="F404">
            <v>0.14395886889460163</v>
          </cell>
        </row>
        <row r="405">
          <cell r="B405" t="str">
            <v>TWR</v>
          </cell>
          <cell r="C405">
            <v>700</v>
          </cell>
          <cell r="D405">
            <v>7.36</v>
          </cell>
          <cell r="E405">
            <v>0.177</v>
          </cell>
          <cell r="F405">
            <v>0</v>
          </cell>
        </row>
        <row r="406">
          <cell r="B406" t="str">
            <v>UBU</v>
          </cell>
          <cell r="F406">
            <v>0</v>
          </cell>
        </row>
        <row r="407">
          <cell r="B407" t="str">
            <v>VIF</v>
          </cell>
          <cell r="F407">
            <v>0</v>
          </cell>
        </row>
        <row r="408">
          <cell r="B408" t="str">
            <v>VIL</v>
          </cell>
          <cell r="F408">
            <v>0</v>
          </cell>
        </row>
        <row r="409">
          <cell r="B409" t="str">
            <v>VIS</v>
          </cell>
          <cell r="C409">
            <v>16</v>
          </cell>
          <cell r="D409">
            <v>-10.7</v>
          </cell>
          <cell r="E409">
            <v>0</v>
          </cell>
          <cell r="F409">
            <v>1.2857142857142856</v>
          </cell>
        </row>
        <row r="410">
          <cell r="B410" t="str">
            <v>VKE</v>
          </cell>
          <cell r="C410">
            <v>2075</v>
          </cell>
          <cell r="D410">
            <v>16.47</v>
          </cell>
          <cell r="E410">
            <v>0.0783</v>
          </cell>
          <cell r="F410">
            <v>0.019656019656019597</v>
          </cell>
        </row>
        <row r="411">
          <cell r="B411" t="str">
            <v>VLE</v>
          </cell>
          <cell r="C411">
            <v>390</v>
          </cell>
          <cell r="D411">
            <v>7.37</v>
          </cell>
          <cell r="E411">
            <v>0.0667</v>
          </cell>
          <cell r="F411">
            <v>0.015625</v>
          </cell>
        </row>
        <row r="412">
          <cell r="B412" t="str">
            <v>VMK</v>
          </cell>
          <cell r="F412">
            <v>0</v>
          </cell>
        </row>
        <row r="413">
          <cell r="B413" t="str">
            <v>VOD</v>
          </cell>
          <cell r="C413">
            <v>14568</v>
          </cell>
          <cell r="D413">
            <v>15.7</v>
          </cell>
          <cell r="E413">
            <v>0.056624999999999995</v>
          </cell>
          <cell r="F413">
            <v>0.004274093478560559</v>
          </cell>
        </row>
        <row r="414">
          <cell r="B414" t="str">
            <v>VPF</v>
          </cell>
          <cell r="F414">
            <v>0</v>
          </cell>
        </row>
        <row r="415">
          <cell r="B415" t="str">
            <v>VUN</v>
          </cell>
          <cell r="F415">
            <v>0</v>
          </cell>
        </row>
        <row r="416">
          <cell r="B416" t="str">
            <v>WBO</v>
          </cell>
          <cell r="C416">
            <v>15544</v>
          </cell>
          <cell r="D416">
            <v>11.9</v>
          </cell>
          <cell r="E416">
            <v>0.0305</v>
          </cell>
          <cell r="F416">
            <v>0.03730397063730395</v>
          </cell>
        </row>
        <row r="417">
          <cell r="B417" t="str">
            <v>WCC</v>
          </cell>
          <cell r="F417">
            <v>0</v>
          </cell>
        </row>
        <row r="418">
          <cell r="B418" t="str">
            <v>WEA</v>
          </cell>
          <cell r="F418">
            <v>0</v>
          </cell>
        </row>
        <row r="419">
          <cell r="B419" t="str">
            <v>WEZ</v>
          </cell>
          <cell r="C419">
            <v>54</v>
          </cell>
          <cell r="D419">
            <v>2.2</v>
          </cell>
          <cell r="E419">
            <v>0</v>
          </cell>
          <cell r="F419">
            <v>0.018867924528301883</v>
          </cell>
        </row>
        <row r="420">
          <cell r="B420" t="str">
            <v>WGR</v>
          </cell>
          <cell r="F420">
            <v>0</v>
          </cell>
        </row>
        <row r="421">
          <cell r="B421" t="str">
            <v>WHL</v>
          </cell>
          <cell r="C421">
            <v>6531</v>
          </cell>
          <cell r="D421">
            <v>15.5</v>
          </cell>
          <cell r="E421">
            <v>0.047875</v>
          </cell>
          <cell r="F421">
            <v>0.12603448275862061</v>
          </cell>
        </row>
        <row r="422">
          <cell r="B422" t="str">
            <v>WIL</v>
          </cell>
          <cell r="C422">
            <v>723</v>
          </cell>
          <cell r="D422">
            <v>21.2</v>
          </cell>
          <cell r="E422">
            <v>0.028874999999999998</v>
          </cell>
          <cell r="F422">
            <v>-0.03600000000000003</v>
          </cell>
        </row>
        <row r="423">
          <cell r="B423" t="str">
            <v>WKF</v>
          </cell>
          <cell r="F423">
            <v>0</v>
          </cell>
        </row>
        <row r="424">
          <cell r="B424" t="str">
            <v>WNH</v>
          </cell>
          <cell r="F424">
            <v>0</v>
          </cell>
        </row>
        <row r="425">
          <cell r="B425" t="str">
            <v>WSL</v>
          </cell>
          <cell r="C425">
            <v>167</v>
          </cell>
          <cell r="D425">
            <v>45.11</v>
          </cell>
          <cell r="E425">
            <v>0.0348</v>
          </cell>
          <cell r="F425">
            <v>-0.14358974358974363</v>
          </cell>
        </row>
        <row r="426">
          <cell r="B426" t="str">
            <v>WTL</v>
          </cell>
          <cell r="F426">
            <v>0</v>
          </cell>
        </row>
        <row r="427">
          <cell r="B427" t="str">
            <v>YRK</v>
          </cell>
          <cell r="C427">
            <v>250</v>
          </cell>
          <cell r="D427">
            <v>2.23</v>
          </cell>
          <cell r="E427">
            <v>0</v>
          </cell>
          <cell r="F427">
            <v>-0.1228070175438597</v>
          </cell>
        </row>
        <row r="428">
          <cell r="B428" t="str">
            <v>ZCI</v>
          </cell>
          <cell r="F428">
            <v>0</v>
          </cell>
        </row>
        <row r="429">
          <cell r="B429" t="str">
            <v>ZED</v>
          </cell>
          <cell r="C429">
            <v>690</v>
          </cell>
          <cell r="D429">
            <v>-12</v>
          </cell>
          <cell r="E429">
            <v>0.016</v>
          </cell>
          <cell r="F429">
            <v>0.034482758620689724</v>
          </cell>
        </row>
        <row r="430">
          <cell r="B430" t="str">
            <v>ZSA</v>
          </cell>
          <cell r="F430">
            <v>0</v>
          </cell>
        </row>
        <row r="480">
          <cell r="E480">
            <v>43100</v>
          </cell>
        </row>
        <row r="482">
          <cell r="E482">
            <v>79085</v>
          </cell>
        </row>
        <row r="483">
          <cell r="E483">
            <v>17873</v>
          </cell>
        </row>
        <row r="484">
          <cell r="E484">
            <v>36293</v>
          </cell>
        </row>
        <row r="485">
          <cell r="E485">
            <v>59505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1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8.00390625" style="0" bestFit="1" customWidth="1"/>
    <col min="16" max="16" width="10.421875" style="0" customWidth="1"/>
    <col min="17" max="17" width="10.00390625" style="0" customWidth="1"/>
    <col min="20" max="20" width="4.140625" style="0" customWidth="1"/>
    <col min="21" max="21" width="7.140625" style="0" customWidth="1"/>
    <col min="22" max="22" width="17.7109375" style="0" customWidth="1"/>
  </cols>
  <sheetData>
    <row r="1" spans="2:34" ht="18">
      <c r="B1" s="114" t="s">
        <v>89</v>
      </c>
      <c r="V1" s="45"/>
      <c r="W1" s="61"/>
      <c r="X1" s="45"/>
      <c r="Y1" s="45"/>
      <c r="Z1" s="45"/>
      <c r="AA1" s="45"/>
      <c r="AB1" s="45"/>
      <c r="AD1" s="45"/>
      <c r="AE1" s="45"/>
      <c r="AF1" s="45"/>
      <c r="AG1" s="45"/>
      <c r="AH1" s="45"/>
    </row>
    <row r="2" spans="22:34" ht="15">
      <c r="V2" s="45"/>
      <c r="W2" s="61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22:34" ht="15">
      <c r="V3" s="45"/>
      <c r="W3" s="61"/>
      <c r="X3" s="45"/>
      <c r="Y3" s="45"/>
      <c r="Z3" s="45"/>
      <c r="AA3" s="45"/>
      <c r="AB3" s="45"/>
      <c r="AC3" s="62">
        <f>AC4-AB4</f>
        <v>214</v>
      </c>
      <c r="AD3" s="45"/>
      <c r="AE3" s="45"/>
      <c r="AF3" s="45"/>
      <c r="AG3" s="45"/>
      <c r="AH3" s="45"/>
    </row>
    <row r="4" spans="2:34" ht="15">
      <c r="B4" s="1" t="s">
        <v>90</v>
      </c>
      <c r="C4" s="2" t="s">
        <v>0</v>
      </c>
      <c r="D4" s="2" t="s">
        <v>1</v>
      </c>
      <c r="E4" s="55" t="s">
        <v>60</v>
      </c>
      <c r="F4" s="55" t="s">
        <v>61</v>
      </c>
      <c r="G4" s="55"/>
      <c r="H4" s="56">
        <v>42886</v>
      </c>
      <c r="I4" s="2"/>
      <c r="J4" s="123">
        <f>$AC$4</f>
        <v>43100</v>
      </c>
      <c r="K4" s="124"/>
      <c r="L4" s="124"/>
      <c r="M4" s="57" t="s">
        <v>62</v>
      </c>
      <c r="N4" s="57" t="s">
        <v>63</v>
      </c>
      <c r="O4" s="58" t="s">
        <v>64</v>
      </c>
      <c r="P4" s="58" t="s">
        <v>65</v>
      </c>
      <c r="Q4" s="59" t="s">
        <v>66</v>
      </c>
      <c r="R4" s="59" t="s">
        <v>67</v>
      </c>
      <c r="S4" s="60" t="s">
        <v>55</v>
      </c>
      <c r="U4" s="59" t="s">
        <v>69</v>
      </c>
      <c r="V4" s="59" t="s">
        <v>70</v>
      </c>
      <c r="W4" s="59" t="s">
        <v>71</v>
      </c>
      <c r="X4" s="59" t="s">
        <v>72</v>
      </c>
      <c r="Y4" s="59" t="s">
        <v>73</v>
      </c>
      <c r="Z4" s="59" t="s">
        <v>74</v>
      </c>
      <c r="AA4" s="63" t="s">
        <v>64</v>
      </c>
      <c r="AB4" s="56">
        <v>42886</v>
      </c>
      <c r="AC4" s="56">
        <f>'[2]Inputs'!$E$480</f>
        <v>43100</v>
      </c>
      <c r="AD4" s="60" t="s">
        <v>55</v>
      </c>
      <c r="AE4" s="45"/>
      <c r="AF4" s="64">
        <v>53563</v>
      </c>
      <c r="AG4" s="64">
        <f>'[2]Inputs'!$E$485</f>
        <v>59505</v>
      </c>
      <c r="AH4" s="54">
        <f>AG4/AF4-1</f>
        <v>0.11093478707316629</v>
      </c>
    </row>
    <row r="5" spans="2:34" ht="15">
      <c r="B5" s="3" t="s">
        <v>2</v>
      </c>
      <c r="C5" s="4" t="s">
        <v>3</v>
      </c>
      <c r="D5" s="5" t="s">
        <v>4</v>
      </c>
      <c r="E5" s="16" t="s">
        <v>49</v>
      </c>
      <c r="F5" s="5" t="s">
        <v>50</v>
      </c>
      <c r="G5" s="16" t="s">
        <v>51</v>
      </c>
      <c r="H5" s="16" t="s">
        <v>52</v>
      </c>
      <c r="I5" s="16" t="s">
        <v>53</v>
      </c>
      <c r="J5" s="17" t="s">
        <v>52</v>
      </c>
      <c r="K5" s="17" t="s">
        <v>54</v>
      </c>
      <c r="L5" s="18" t="s">
        <v>55</v>
      </c>
      <c r="M5" s="16" t="s">
        <v>55</v>
      </c>
      <c r="N5" s="16" t="s">
        <v>55</v>
      </c>
      <c r="O5" s="19" t="s">
        <v>56</v>
      </c>
      <c r="P5" s="20">
        <v>0.53</v>
      </c>
      <c r="Q5" s="21">
        <f>$AD$7</f>
        <v>0.16249199231262001</v>
      </c>
      <c r="R5" s="22">
        <f>SUMIF(E6:E21,O5,G6:G21)/G22</f>
        <v>0.6074999999999999</v>
      </c>
      <c r="S5" s="23">
        <f>SUMIF(E6:E21,O5,L6:L21)/SUMIF(E6:E21,O5,G6:G21)</f>
        <v>0.02647307456953203</v>
      </c>
      <c r="U5" s="65">
        <f aca="true" t="shared" si="0" ref="U5:U12">RANK(X5,$X$5:$X$13)</f>
        <v>4</v>
      </c>
      <c r="V5" s="66" t="str">
        <f>B4</f>
        <v>Anshun Roos (F)</v>
      </c>
      <c r="W5" s="67" t="s">
        <v>75</v>
      </c>
      <c r="X5" s="68">
        <f>M22</f>
        <v>0.11974683766129413</v>
      </c>
      <c r="Y5" s="68">
        <f>N22</f>
        <v>0.21277203524792343</v>
      </c>
      <c r="Z5" s="68">
        <f>X5-$AH$4</f>
        <v>0.00881205058812784</v>
      </c>
      <c r="AA5" s="69" t="s">
        <v>56</v>
      </c>
      <c r="AB5" s="70">
        <v>73731</v>
      </c>
      <c r="AC5" s="70">
        <f>'[2]Inputs'!$E$482</f>
        <v>79085</v>
      </c>
      <c r="AD5" s="23">
        <f>AC5/AB5-1</f>
        <v>0.07261531784459718</v>
      </c>
      <c r="AH5" s="45"/>
    </row>
    <row r="6" spans="2:34" ht="15">
      <c r="B6" s="6" t="s">
        <v>24</v>
      </c>
      <c r="C6" s="7" t="s">
        <v>24</v>
      </c>
      <c r="D6" s="115">
        <v>0.04874999999999998</v>
      </c>
      <c r="E6" s="24" t="str">
        <f>VLOOKUP(C6,'[1]Codes Sectors Stata'!$C$1:$E$303,3,FALSE)</f>
        <v>Indi</v>
      </c>
      <c r="F6" s="25" t="str">
        <f>VLOOKUP(C6,'[1]Codes Sectors Stata'!$C$1:$E$303,2,FALSE)</f>
        <v>C</v>
      </c>
      <c r="G6" s="26">
        <f>D6*G22</f>
        <v>19499.999999999993</v>
      </c>
      <c r="H6" s="27">
        <v>98.66</v>
      </c>
      <c r="I6" s="28">
        <f>G6/H6</f>
        <v>197.64848976282175</v>
      </c>
      <c r="J6" s="27">
        <f>INDEX('[2]Inputs'!$B$4:$F$430,MATCH(C6,'[2]Inputs'!$B$4:$B$430,0),2)/100</f>
        <v>110.56</v>
      </c>
      <c r="K6" s="29">
        <f>I6*J6</f>
        <v>21852.01702817757</v>
      </c>
      <c r="L6" s="30">
        <f>K6-G6</f>
        <v>2352.017028177579</v>
      </c>
      <c r="M6" s="31">
        <f>L6/G6</f>
        <v>0.1206162578552605</v>
      </c>
      <c r="N6" s="31">
        <f aca="true" t="shared" si="1" ref="N6:N22">(1+M6)^(365/$AC$3)-1</f>
        <v>0.21437855875962586</v>
      </c>
      <c r="O6" s="32" t="s">
        <v>57</v>
      </c>
      <c r="P6" s="33">
        <v>0.25</v>
      </c>
      <c r="Q6" s="21">
        <f>$AD$8</f>
        <v>0.11093478707316629</v>
      </c>
      <c r="R6" s="22">
        <f>SUMIF(E6:E21,O6,G6:G21)/G22</f>
        <v>0.34375</v>
      </c>
      <c r="S6" s="34">
        <f>SUMIF(E6:E21,O6,L6:L21)/SUMIF(E6:E21,O6,G6:G21)</f>
        <v>0.3122562792556595</v>
      </c>
      <c r="U6" s="65">
        <f t="shared" si="0"/>
        <v>9</v>
      </c>
      <c r="V6" s="71" t="str">
        <f>B25</f>
        <v>Christo Linde (M)</v>
      </c>
      <c r="W6" s="72" t="s">
        <v>76</v>
      </c>
      <c r="X6" s="68">
        <f>M43</f>
        <v>0.013712139408048052</v>
      </c>
      <c r="Y6" s="68">
        <f>N43</f>
        <v>0.023500517627162543</v>
      </c>
      <c r="Z6" s="68">
        <f aca="true" t="shared" si="2" ref="Z6:Z12">X6-$AH$4</f>
        <v>-0.09722264766511823</v>
      </c>
      <c r="AA6" s="73" t="s">
        <v>57</v>
      </c>
      <c r="AB6" s="74">
        <v>14775</v>
      </c>
      <c r="AC6" s="74">
        <f>'[2]Inputs'!$E$483</f>
        <v>17873</v>
      </c>
      <c r="AD6" s="34">
        <f>AC6/AB6-1</f>
        <v>0.20967851099830792</v>
      </c>
      <c r="AH6" s="45"/>
    </row>
    <row r="7" spans="2:34" ht="15">
      <c r="B7" s="9" t="s">
        <v>25</v>
      </c>
      <c r="C7" s="10" t="s">
        <v>5</v>
      </c>
      <c r="D7" s="116">
        <v>0.10874999999999999</v>
      </c>
      <c r="E7" s="35" t="str">
        <f>VLOOKUP(C7,'[1]Codes Sectors Stata'!$C$1:$E$303,3,FALSE)</f>
        <v>Indi</v>
      </c>
      <c r="F7" s="36" t="str">
        <f>VLOOKUP(C7,'[1]Codes Sectors Stata'!$C$1:$E$303,2,FALSE)</f>
        <v>A</v>
      </c>
      <c r="G7" s="26">
        <f>D7*G22</f>
        <v>43499.99999999999</v>
      </c>
      <c r="H7" s="27">
        <v>944.13</v>
      </c>
      <c r="I7" s="37">
        <f aca="true" t="shared" si="3" ref="I7:I21">G7/H7</f>
        <v>46.07416351561754</v>
      </c>
      <c r="J7" s="27">
        <f>INDEX('[2]Inputs'!$B$4:$F$430,MATCH(C7,'[2]Inputs'!$B$4:$B$430,0),2)/100</f>
        <v>829.5</v>
      </c>
      <c r="K7" s="38">
        <f aca="true" t="shared" si="4" ref="K7:K21">I7*J7</f>
        <v>38218.51863620475</v>
      </c>
      <c r="L7" s="30">
        <f aca="true" t="shared" si="5" ref="L7:L21">K7-G7</f>
        <v>-5281.481363795239</v>
      </c>
      <c r="M7" s="31">
        <f aca="true" t="shared" si="6" ref="M7:M21">L7/G7</f>
        <v>-0.12141336468494805</v>
      </c>
      <c r="N7" s="31">
        <f t="shared" si="1"/>
        <v>-0.19810301432733268</v>
      </c>
      <c r="O7" s="32" t="s">
        <v>58</v>
      </c>
      <c r="P7" s="39">
        <v>0.22</v>
      </c>
      <c r="Q7" s="21">
        <f>$AD$9</f>
        <v>0</v>
      </c>
      <c r="R7" s="22">
        <f>SUMIF(E6:E21,O7,G6:G21)/G22</f>
        <v>0.04874999999999998</v>
      </c>
      <c r="S7" s="40">
        <f>SUMIF(E6:E21,O7,L6:L21)/SUMIF(E6:E21,O7,G6:G21)</f>
        <v>-0.07535694633496504</v>
      </c>
      <c r="U7" s="65">
        <f t="shared" si="0"/>
        <v>5</v>
      </c>
      <c r="V7" s="75" t="str">
        <f>B46</f>
        <v>Elizabeth Jacobsz (F)</v>
      </c>
      <c r="W7" s="72" t="s">
        <v>75</v>
      </c>
      <c r="X7" s="68">
        <f>M64</f>
        <v>0.10051542482486471</v>
      </c>
      <c r="Y7" s="68">
        <f>N64</f>
        <v>0.17746139548081774</v>
      </c>
      <c r="Z7" s="68">
        <f t="shared" si="2"/>
        <v>-0.010419362248301575</v>
      </c>
      <c r="AA7" s="73" t="s">
        <v>58</v>
      </c>
      <c r="AB7" s="76">
        <v>31220</v>
      </c>
      <c r="AC7" s="76">
        <f>'[2]Inputs'!$E$484</f>
        <v>36293</v>
      </c>
      <c r="AD7" s="40">
        <f>AC7/AB7-1</f>
        <v>0.16249199231262001</v>
      </c>
      <c r="AH7" s="45"/>
    </row>
    <row r="8" spans="2:34" ht="15">
      <c r="B8" s="9" t="s">
        <v>91</v>
      </c>
      <c r="C8" s="10" t="s">
        <v>92</v>
      </c>
      <c r="D8" s="116">
        <v>0.04874999999999998</v>
      </c>
      <c r="E8" s="35" t="str">
        <f>VLOOKUP(C8,'[1]Codes Sectors Stata'!$C$1:$E$303,3,FALSE)</f>
        <v>Indi</v>
      </c>
      <c r="F8" s="36" t="str">
        <f>VLOOKUP(C8,'[1]Codes Sectors Stata'!$C$1:$E$303,2,FALSE)</f>
        <v>B</v>
      </c>
      <c r="G8" s="26">
        <f>D8*G22</f>
        <v>19499.999999999993</v>
      </c>
      <c r="H8" s="27">
        <v>170.86</v>
      </c>
      <c r="I8" s="37">
        <f t="shared" si="3"/>
        <v>114.12852627882472</v>
      </c>
      <c r="J8" s="27">
        <f>INDEX('[2]Inputs'!$B$4:$F$430,MATCH(C8,'[2]Inputs'!$B$4:$B$430,0),2)/100</f>
        <v>218.09</v>
      </c>
      <c r="K8" s="38">
        <f t="shared" si="4"/>
        <v>24890.290296148883</v>
      </c>
      <c r="L8" s="30">
        <f t="shared" si="5"/>
        <v>5390.290296148891</v>
      </c>
      <c r="M8" s="31">
        <f t="shared" si="6"/>
        <v>0.27642514339225094</v>
      </c>
      <c r="N8" s="31">
        <f t="shared" si="1"/>
        <v>0.5163046340400195</v>
      </c>
      <c r="O8" s="41" t="s">
        <v>59</v>
      </c>
      <c r="P8" s="39">
        <v>1</v>
      </c>
      <c r="Q8" s="42">
        <f>$AD$10</f>
        <v>0</v>
      </c>
      <c r="R8" s="43">
        <f>R5+R6+R7</f>
        <v>0.9999999999999999</v>
      </c>
      <c r="S8" s="44">
        <f>L22/G22</f>
        <v>0.11974683766129413</v>
      </c>
      <c r="U8" s="65">
        <f t="shared" si="0"/>
        <v>8</v>
      </c>
      <c r="V8" s="71" t="str">
        <f>B67</f>
        <v>Henry van Noort (M)</v>
      </c>
      <c r="W8" s="72" t="s">
        <v>76</v>
      </c>
      <c r="X8" s="68">
        <f>M85</f>
        <v>0.059292384143491875</v>
      </c>
      <c r="Y8" s="68">
        <f>N85</f>
        <v>0.10323294059276877</v>
      </c>
      <c r="Z8" s="68">
        <f t="shared" si="2"/>
        <v>-0.05164240292967441</v>
      </c>
      <c r="AA8" s="77" t="s">
        <v>77</v>
      </c>
      <c r="AB8" s="78">
        <v>53563</v>
      </c>
      <c r="AC8" s="78">
        <f>'[2]Inputs'!$E$485</f>
        <v>59505</v>
      </c>
      <c r="AD8" s="44">
        <f>AC8/AB8-1</f>
        <v>0.11093478707316629</v>
      </c>
      <c r="AH8" s="45"/>
    </row>
    <row r="9" spans="2:34" ht="15">
      <c r="B9" s="9" t="s">
        <v>22</v>
      </c>
      <c r="C9" s="10" t="s">
        <v>23</v>
      </c>
      <c r="D9" s="116">
        <v>0.08874999999999998</v>
      </c>
      <c r="E9" s="35" t="str">
        <f>VLOOKUP(C9,'[1]Codes Sectors Stata'!$C$1:$E$303,3,FALSE)</f>
        <v>Indi</v>
      </c>
      <c r="F9" s="36" t="str">
        <f>VLOOKUP(C9,'[1]Codes Sectors Stata'!$C$1:$E$303,2,FALSE)</f>
        <v>A</v>
      </c>
      <c r="G9" s="26">
        <f>D9*G22</f>
        <v>35499.99999999999</v>
      </c>
      <c r="H9" s="27">
        <v>110.61</v>
      </c>
      <c r="I9" s="37">
        <f t="shared" si="3"/>
        <v>320.94747310369763</v>
      </c>
      <c r="J9" s="27">
        <f>INDEX('[2]Inputs'!$B$4:$F$430,MATCH(C9,'[2]Inputs'!$B$4:$B$430,0),2)/100</f>
        <v>111.75</v>
      </c>
      <c r="K9" s="38">
        <f t="shared" si="4"/>
        <v>35865.88011933821</v>
      </c>
      <c r="L9" s="30">
        <f t="shared" si="5"/>
        <v>365.8801193382169</v>
      </c>
      <c r="M9" s="31">
        <f t="shared" si="6"/>
        <v>0.01030648223487935</v>
      </c>
      <c r="N9" s="31">
        <f t="shared" si="1"/>
        <v>0.017642668198353473</v>
      </c>
      <c r="O9" s="45"/>
      <c r="P9" s="45"/>
      <c r="Q9" s="45"/>
      <c r="R9" s="45"/>
      <c r="S9" s="45"/>
      <c r="U9" s="65">
        <f t="shared" si="0"/>
        <v>6</v>
      </c>
      <c r="V9" s="75" t="str">
        <f>B88</f>
        <v>Libby Devenish (F)</v>
      </c>
      <c r="W9" s="72" t="s">
        <v>75</v>
      </c>
      <c r="X9" s="68">
        <f>M106</f>
        <v>0.09646429537532752</v>
      </c>
      <c r="Y9" s="68">
        <f>N106</f>
        <v>0.17007825451593805</v>
      </c>
      <c r="Z9" s="68">
        <f t="shared" si="2"/>
        <v>-0.014470491697838761</v>
      </c>
      <c r="AA9" s="45"/>
      <c r="AB9" s="45"/>
      <c r="AC9" s="45"/>
      <c r="AD9" s="45"/>
      <c r="AH9" s="45"/>
    </row>
    <row r="10" spans="2:34" ht="15">
      <c r="B10" s="9" t="s">
        <v>26</v>
      </c>
      <c r="C10" s="10" t="s">
        <v>27</v>
      </c>
      <c r="D10" s="116">
        <v>0.04874999999999998</v>
      </c>
      <c r="E10" s="35" t="str">
        <f>VLOOKUP(C10,'[1]Codes Sectors Stata'!$C$1:$E$303,3,FALSE)</f>
        <v>Indi</v>
      </c>
      <c r="F10" s="36" t="str">
        <f>VLOOKUP(C10,'[1]Codes Sectors Stata'!$C$1:$E$303,2,FALSE)</f>
        <v>B</v>
      </c>
      <c r="G10" s="26">
        <f>D10*G22</f>
        <v>19499.999999999993</v>
      </c>
      <c r="H10" s="27">
        <v>136.22</v>
      </c>
      <c r="I10" s="37">
        <f t="shared" si="3"/>
        <v>143.15078549405368</v>
      </c>
      <c r="J10" s="27">
        <f>INDEX('[2]Inputs'!$B$4:$F$430,MATCH(C10,'[2]Inputs'!$B$4:$B$430,0),2)/100</f>
        <v>181.13</v>
      </c>
      <c r="K10" s="38">
        <f t="shared" si="4"/>
        <v>25928.901776537943</v>
      </c>
      <c r="L10" s="30">
        <f t="shared" si="5"/>
        <v>6428.90177653795</v>
      </c>
      <c r="M10" s="31">
        <f t="shared" si="6"/>
        <v>0.3296872705916899</v>
      </c>
      <c r="N10" s="31">
        <f t="shared" si="1"/>
        <v>0.625803639735423</v>
      </c>
      <c r="O10" s="45"/>
      <c r="P10" s="45"/>
      <c r="Q10" s="45"/>
      <c r="R10" s="45"/>
      <c r="S10" s="45"/>
      <c r="U10" s="65">
        <f t="shared" si="0"/>
        <v>1</v>
      </c>
      <c r="V10" s="71" t="str">
        <f>B109</f>
        <v>Marie Verster (F)</v>
      </c>
      <c r="W10" s="72" t="s">
        <v>75</v>
      </c>
      <c r="X10" s="79">
        <f>M127</f>
        <v>0.1350376105770672</v>
      </c>
      <c r="Y10" s="79">
        <f>N127</f>
        <v>0.24115464803580444</v>
      </c>
      <c r="Z10" s="68">
        <f t="shared" si="2"/>
        <v>0.024102823503900916</v>
      </c>
      <c r="AA10" s="45"/>
      <c r="AB10" s="45"/>
      <c r="AC10" s="45"/>
      <c r="AD10" s="45"/>
      <c r="AH10" s="45"/>
    </row>
    <row r="11" spans="2:34" ht="15">
      <c r="B11" s="9" t="s">
        <v>28</v>
      </c>
      <c r="C11" s="10" t="s">
        <v>29</v>
      </c>
      <c r="D11" s="116">
        <v>0.04874999999999998</v>
      </c>
      <c r="E11" s="35" t="str">
        <f>VLOOKUP(C11,'[1]Codes Sectors Stata'!$C$1:$E$303,3,FALSE)</f>
        <v>Fini</v>
      </c>
      <c r="F11" s="36" t="str">
        <f>VLOOKUP(C11,'[1]Codes Sectors Stata'!$C$1:$E$303,2,FALSE)</f>
        <v>C</v>
      </c>
      <c r="G11" s="26">
        <f>D11*G22</f>
        <v>19499.999999999993</v>
      </c>
      <c r="H11" s="27">
        <v>778.78</v>
      </c>
      <c r="I11" s="37">
        <f t="shared" si="3"/>
        <v>25.03916382033436</v>
      </c>
      <c r="J11" s="27">
        <f>INDEX('[2]Inputs'!$B$4:$F$430,MATCH(C11,'[2]Inputs'!$B$4:$B$430,0),2)/100</f>
        <v>1097.96</v>
      </c>
      <c r="K11" s="38">
        <f t="shared" si="4"/>
        <v>27492.000308174313</v>
      </c>
      <c r="L11" s="30">
        <f t="shared" si="5"/>
        <v>7992.00030817432</v>
      </c>
      <c r="M11" s="31">
        <f t="shared" si="6"/>
        <v>0.4098461696499653</v>
      </c>
      <c r="N11" s="31">
        <f t="shared" si="1"/>
        <v>0.7965049403645135</v>
      </c>
      <c r="O11" s="45"/>
      <c r="P11" s="45"/>
      <c r="Q11" s="45"/>
      <c r="R11" s="45"/>
      <c r="S11" s="45"/>
      <c r="U11" s="65">
        <f t="shared" si="0"/>
        <v>3</v>
      </c>
      <c r="V11" s="71" t="str">
        <f>B130</f>
        <v>Roxie Naicker (F)</v>
      </c>
      <c r="W11" s="72" t="s">
        <v>75</v>
      </c>
      <c r="X11" s="79">
        <f>M148</f>
        <v>0.1215983286677253</v>
      </c>
      <c r="Y11" s="79">
        <f>N148</f>
        <v>0.2161942973001736</v>
      </c>
      <c r="Z11" s="68">
        <f t="shared" si="2"/>
        <v>0.010663541594559012</v>
      </c>
      <c r="AA11" s="45"/>
      <c r="AB11" s="45"/>
      <c r="AC11" s="45"/>
      <c r="AD11" s="45"/>
      <c r="AE11" s="80"/>
      <c r="AF11" s="81"/>
      <c r="AG11" s="82"/>
      <c r="AH11" s="45"/>
    </row>
    <row r="12" spans="2:34" ht="15">
      <c r="B12" s="11" t="s">
        <v>31</v>
      </c>
      <c r="C12" s="10" t="s">
        <v>31</v>
      </c>
      <c r="D12" s="116">
        <v>0.04874999999999998</v>
      </c>
      <c r="E12" s="35" t="str">
        <f>VLOOKUP(C12,'[1]Codes Sectors Stata'!$C$1:$E$303,3,FALSE)</f>
        <v>Indi</v>
      </c>
      <c r="F12" s="36" t="str">
        <f>VLOOKUP(C12,'[1]Codes Sectors Stata'!$C$1:$E$303,2,FALSE)</f>
        <v>C</v>
      </c>
      <c r="G12" s="26">
        <f>D12*G22</f>
        <v>19499.999999999993</v>
      </c>
      <c r="H12" s="27">
        <v>125.75</v>
      </c>
      <c r="I12" s="37">
        <f t="shared" si="3"/>
        <v>155.06958250497013</v>
      </c>
      <c r="J12" s="27">
        <f>INDEX('[2]Inputs'!$B$4:$F$430,MATCH(C12,'[2]Inputs'!$B$4:$B$430,0),2)/100</f>
        <v>67.44</v>
      </c>
      <c r="K12" s="38">
        <f t="shared" si="4"/>
        <v>10457.892644135185</v>
      </c>
      <c r="L12" s="30">
        <f t="shared" si="5"/>
        <v>-9042.107355864808</v>
      </c>
      <c r="M12" s="31">
        <f t="shared" si="6"/>
        <v>-0.46369781312127234</v>
      </c>
      <c r="N12" s="31">
        <f t="shared" si="1"/>
        <v>-0.6544754294327066</v>
      </c>
      <c r="O12" s="45"/>
      <c r="P12" s="45"/>
      <c r="Q12" s="45"/>
      <c r="R12" s="45"/>
      <c r="S12" s="45"/>
      <c r="U12" s="65">
        <f t="shared" si="0"/>
        <v>2</v>
      </c>
      <c r="V12" s="100" t="str">
        <f>B151</f>
        <v>MeB 3</v>
      </c>
      <c r="W12" s="101" t="s">
        <v>76</v>
      </c>
      <c r="X12" s="79">
        <f>M169</f>
        <v>0.12376864659955623</v>
      </c>
      <c r="Y12" s="79">
        <f>N169</f>
        <v>0.22021095097222743</v>
      </c>
      <c r="Z12" s="68">
        <f t="shared" si="2"/>
        <v>0.012833859526389949</v>
      </c>
      <c r="AA12" s="45"/>
      <c r="AB12" s="45"/>
      <c r="AC12" s="45"/>
      <c r="AD12" s="45"/>
      <c r="AE12" s="80"/>
      <c r="AF12" s="81"/>
      <c r="AG12" s="82"/>
      <c r="AH12" s="45"/>
    </row>
    <row r="13" spans="2:34" ht="15">
      <c r="B13" s="9" t="s">
        <v>32</v>
      </c>
      <c r="C13" s="10" t="s">
        <v>33</v>
      </c>
      <c r="D13" s="116">
        <v>0.04874999999999998</v>
      </c>
      <c r="E13" s="35" t="str">
        <f>VLOOKUP(C13,'[1]Codes Sectors Stata'!$C$1:$E$303,3,FALSE)</f>
        <v>Indi</v>
      </c>
      <c r="F13" s="36" t="str">
        <f>VLOOKUP(C13,'[1]Codes Sectors Stata'!$C$1:$E$303,2,FALSE)</f>
        <v>C</v>
      </c>
      <c r="G13" s="26">
        <f>D13*G22</f>
        <v>19499.999999999993</v>
      </c>
      <c r="H13" s="27">
        <v>134.11</v>
      </c>
      <c r="I13" s="37">
        <f t="shared" si="3"/>
        <v>145.40302736559534</v>
      </c>
      <c r="J13" s="27">
        <f>INDEX('[2]Inputs'!$B$4:$F$430,MATCH(C13,'[2]Inputs'!$B$4:$B$430,0),2)/100</f>
        <v>102.99</v>
      </c>
      <c r="K13" s="38">
        <f t="shared" si="4"/>
        <v>14975.057788382663</v>
      </c>
      <c r="L13" s="30">
        <f t="shared" si="5"/>
        <v>-4524.94221161733</v>
      </c>
      <c r="M13" s="31">
        <f t="shared" si="6"/>
        <v>-0.23204831854447855</v>
      </c>
      <c r="N13" s="31">
        <f t="shared" si="1"/>
        <v>-0.3625815424331721</v>
      </c>
      <c r="O13" s="45"/>
      <c r="P13" s="45"/>
      <c r="Q13" s="45"/>
      <c r="R13" s="45"/>
      <c r="S13" s="45"/>
      <c r="U13" s="111"/>
      <c r="V13" s="109"/>
      <c r="W13" s="112"/>
      <c r="X13" s="110">
        <f>AVERAGE(X5:X12)</f>
        <v>0.09626695840717187</v>
      </c>
      <c r="Y13" s="46"/>
      <c r="Z13" s="79">
        <f>AVERAGE(Z5:Z12)</f>
        <v>-0.014667828665994408</v>
      </c>
      <c r="AA13" s="45"/>
      <c r="AB13" s="45"/>
      <c r="AC13" s="45"/>
      <c r="AD13" s="45"/>
      <c r="AE13" s="80"/>
      <c r="AF13" s="81"/>
      <c r="AG13" s="82"/>
      <c r="AH13" s="45"/>
    </row>
    <row r="14" spans="2:34" ht="15">
      <c r="B14" s="9" t="s">
        <v>40</v>
      </c>
      <c r="C14" s="10" t="s">
        <v>41</v>
      </c>
      <c r="D14" s="116">
        <v>0.14875</v>
      </c>
      <c r="E14" s="35" t="str">
        <f>VLOOKUP(C14,'[1]Codes Sectors Stata'!$C$1:$E$303,3,FALSE)</f>
        <v>Fini</v>
      </c>
      <c r="F14" s="36" t="str">
        <f>VLOOKUP(C14,'[1]Codes Sectors Stata'!$C$1:$E$303,2,FALSE)</f>
        <v>B</v>
      </c>
      <c r="G14" s="26">
        <f>D14*G22</f>
        <v>59500</v>
      </c>
      <c r="H14" s="27">
        <v>49.31</v>
      </c>
      <c r="I14" s="37">
        <f t="shared" si="3"/>
        <v>1206.6517947677955</v>
      </c>
      <c r="J14" s="27">
        <f>INDEX('[2]Inputs'!$B$4:$F$430,MATCH(C14,'[2]Inputs'!$B$4:$B$430,0),2)/100</f>
        <v>67.25</v>
      </c>
      <c r="K14" s="38">
        <f t="shared" si="4"/>
        <v>81147.33319813425</v>
      </c>
      <c r="L14" s="30">
        <f t="shared" si="5"/>
        <v>21647.33319813425</v>
      </c>
      <c r="M14" s="31">
        <f t="shared" si="6"/>
        <v>0.363820726019063</v>
      </c>
      <c r="N14" s="31">
        <f t="shared" si="1"/>
        <v>0.6976299743273777</v>
      </c>
      <c r="O14" s="46"/>
      <c r="P14" s="46"/>
      <c r="Q14" s="46"/>
      <c r="R14" s="46"/>
      <c r="S14" s="46"/>
      <c r="AB14" s="45"/>
      <c r="AC14" s="45"/>
      <c r="AD14" s="80"/>
      <c r="AE14" s="80"/>
      <c r="AF14" s="83"/>
      <c r="AG14" s="83"/>
      <c r="AH14" s="45"/>
    </row>
    <row r="15" spans="2:34" ht="15">
      <c r="B15" s="9" t="s">
        <v>42</v>
      </c>
      <c r="C15" s="10" t="s">
        <v>43</v>
      </c>
      <c r="D15" s="116">
        <v>0.04874999999999998</v>
      </c>
      <c r="E15" s="35" t="str">
        <f>VLOOKUP(C15,'[1]Codes Sectors Stata'!$C$1:$E$303,3,FALSE)</f>
        <v>Resi</v>
      </c>
      <c r="F15" s="36" t="str">
        <f>VLOOKUP(C15,'[1]Codes Sectors Stata'!$C$1:$E$303,2,FALSE)</f>
        <v>B</v>
      </c>
      <c r="G15" s="26">
        <f>D15*G22</f>
        <v>19499.999999999993</v>
      </c>
      <c r="H15" s="27">
        <v>345.29</v>
      </c>
      <c r="I15" s="37">
        <f t="shared" si="3"/>
        <v>56.47426800660312</v>
      </c>
      <c r="J15" s="27">
        <f>INDEX('[2]Inputs'!$B$4:$F$430,MATCH(C15,'[2]Inputs'!$B$4:$B$430,0),2)/100</f>
        <v>319.27</v>
      </c>
      <c r="K15" s="38">
        <f t="shared" si="4"/>
        <v>18030.539546468175</v>
      </c>
      <c r="L15" s="30">
        <f t="shared" si="5"/>
        <v>-1469.4604535318176</v>
      </c>
      <c r="M15" s="31">
        <f t="shared" si="6"/>
        <v>-0.07535694633496504</v>
      </c>
      <c r="N15" s="31">
        <f t="shared" si="1"/>
        <v>-0.1250863545263523</v>
      </c>
      <c r="O15" s="46"/>
      <c r="P15" s="46"/>
      <c r="Q15" s="46"/>
      <c r="R15" s="46"/>
      <c r="S15" s="46"/>
      <c r="U15" s="111"/>
      <c r="V15" s="109"/>
      <c r="W15" s="112"/>
      <c r="X15" s="113"/>
      <c r="Y15" s="113"/>
      <c r="Z15" s="113"/>
      <c r="AB15" s="45"/>
      <c r="AC15" s="45"/>
      <c r="AD15" s="80"/>
      <c r="AE15" s="80"/>
      <c r="AF15" s="83"/>
      <c r="AG15" s="83"/>
      <c r="AH15" s="45"/>
    </row>
    <row r="16" spans="2:34" ht="15">
      <c r="B16" s="9" t="s">
        <v>10</v>
      </c>
      <c r="C16" s="10" t="s">
        <v>11</v>
      </c>
      <c r="D16" s="116">
        <v>0.04874999999999998</v>
      </c>
      <c r="E16" s="35" t="str">
        <f>VLOOKUP(C16,'[1]Codes Sectors Stata'!$C$1:$E$303,3,FALSE)</f>
        <v>Indi</v>
      </c>
      <c r="F16" s="36" t="str">
        <f>VLOOKUP(C16,'[1]Codes Sectors Stata'!$C$1:$E$303,2,FALSE)</f>
        <v>A</v>
      </c>
      <c r="G16" s="26">
        <f>D16*G22</f>
        <v>19499.999999999993</v>
      </c>
      <c r="H16" s="27">
        <v>2715.56</v>
      </c>
      <c r="I16" s="37">
        <f t="shared" si="3"/>
        <v>7.18083931122862</v>
      </c>
      <c r="J16" s="27">
        <f>INDEX('[2]Inputs'!$B$4:$F$430,MATCH(C16,'[2]Inputs'!$B$4:$B$430,0),2)/100</f>
        <v>3451</v>
      </c>
      <c r="K16" s="38">
        <f t="shared" si="4"/>
        <v>24781.07646304997</v>
      </c>
      <c r="L16" s="30">
        <f t="shared" si="5"/>
        <v>5281.076463049976</v>
      </c>
      <c r="M16" s="31">
        <f t="shared" si="6"/>
        <v>0.270824434002563</v>
      </c>
      <c r="N16" s="31">
        <f t="shared" si="1"/>
        <v>0.5049743674903695</v>
      </c>
      <c r="O16" s="46"/>
      <c r="P16" s="46"/>
      <c r="Q16" s="46"/>
      <c r="R16" s="46"/>
      <c r="S16" s="46"/>
      <c r="U16" s="111"/>
      <c r="V16" s="109"/>
      <c r="W16" s="112"/>
      <c r="X16" s="113"/>
      <c r="Y16" s="113"/>
      <c r="Z16" s="113"/>
      <c r="AB16" s="45"/>
      <c r="AC16" s="45"/>
      <c r="AD16" s="80"/>
      <c r="AE16" s="80"/>
      <c r="AF16" s="83"/>
      <c r="AG16" s="83"/>
      <c r="AH16" s="45"/>
    </row>
    <row r="17" spans="2:34" ht="15">
      <c r="B17" s="9" t="s">
        <v>47</v>
      </c>
      <c r="C17" s="10" t="s">
        <v>21</v>
      </c>
      <c r="D17" s="116">
        <v>0.04874999999999998</v>
      </c>
      <c r="E17" s="35" t="str">
        <f>VLOOKUP(C17,'[1]Codes Sectors Stata'!$C$1:$E$303,3,FALSE)</f>
        <v>Fini</v>
      </c>
      <c r="F17" s="36" t="str">
        <f>VLOOKUP(C17,'[1]Codes Sectors Stata'!$C$1:$E$303,2,FALSE)</f>
        <v>C</v>
      </c>
      <c r="G17" s="26">
        <f>D17*G22</f>
        <v>19499.999999999993</v>
      </c>
      <c r="H17" s="27">
        <v>239.56</v>
      </c>
      <c r="I17" s="37">
        <f t="shared" si="3"/>
        <v>81.39923192519616</v>
      </c>
      <c r="J17" s="27">
        <f>INDEX('[2]Inputs'!$B$4:$F$430,MATCH(C17,'[2]Inputs'!$B$4:$B$430,0),2)/100</f>
        <v>270</v>
      </c>
      <c r="K17" s="38">
        <f t="shared" si="4"/>
        <v>21977.792619802964</v>
      </c>
      <c r="L17" s="30">
        <f t="shared" si="5"/>
        <v>2477.792619802971</v>
      </c>
      <c r="M17" s="31">
        <f t="shared" si="6"/>
        <v>0.1270662881950242</v>
      </c>
      <c r="N17" s="31">
        <f t="shared" si="1"/>
        <v>0.22632444943723984</v>
      </c>
      <c r="O17" s="46"/>
      <c r="P17" s="46"/>
      <c r="Q17" s="46"/>
      <c r="R17" s="46"/>
      <c r="S17" s="46"/>
      <c r="U17" s="111"/>
      <c r="V17" s="109"/>
      <c r="W17" s="112"/>
      <c r="X17" s="113"/>
      <c r="Y17" s="113"/>
      <c r="Z17" s="113"/>
      <c r="AB17" s="45"/>
      <c r="AC17" s="45"/>
      <c r="AD17" s="80"/>
      <c r="AE17" s="80"/>
      <c r="AF17" s="83"/>
      <c r="AG17" s="83"/>
      <c r="AH17" s="45"/>
    </row>
    <row r="18" spans="2:34" ht="15">
      <c r="B18" s="9" t="s">
        <v>93</v>
      </c>
      <c r="C18" s="10" t="s">
        <v>94</v>
      </c>
      <c r="D18" s="116">
        <v>0.04874999999999998</v>
      </c>
      <c r="E18" s="35" t="str">
        <f>VLOOKUP(C18,'[1]Codes Sectors Stata'!$C$1:$E$303,3,FALSE)</f>
        <v>Fini</v>
      </c>
      <c r="F18" s="36" t="str">
        <f>VLOOKUP(C18,'[1]Codes Sectors Stata'!$C$1:$E$303,2,FALSE)</f>
        <v>B</v>
      </c>
      <c r="G18" s="26">
        <f>D18*G22</f>
        <v>19499.999999999993</v>
      </c>
      <c r="H18" s="27">
        <v>61.51</v>
      </c>
      <c r="I18" s="37">
        <f t="shared" si="3"/>
        <v>317.02162250040635</v>
      </c>
      <c r="J18" s="27">
        <f>INDEX('[2]Inputs'!$B$4:$F$430,MATCH(C18,'[2]Inputs'!$B$4:$B$430,0),2)/100</f>
        <v>79.17</v>
      </c>
      <c r="K18" s="38">
        <f t="shared" si="4"/>
        <v>25098.60185335717</v>
      </c>
      <c r="L18" s="30">
        <f t="shared" si="5"/>
        <v>5598.601853357177</v>
      </c>
      <c r="M18" s="31">
        <f t="shared" si="6"/>
        <v>0.2871077873516502</v>
      </c>
      <c r="N18" s="31">
        <f t="shared" si="1"/>
        <v>0.538013060943062</v>
      </c>
      <c r="O18" s="46"/>
      <c r="P18" s="46"/>
      <c r="Q18" s="46"/>
      <c r="R18" s="46"/>
      <c r="S18" s="46"/>
      <c r="U18" s="111"/>
      <c r="V18" s="109"/>
      <c r="W18" s="112"/>
      <c r="X18" s="113"/>
      <c r="Y18" s="113"/>
      <c r="Z18" s="113"/>
      <c r="AA18" s="45"/>
      <c r="AB18" s="45"/>
      <c r="AC18" s="45"/>
      <c r="AD18" s="45"/>
      <c r="AE18" s="45"/>
      <c r="AF18" s="45"/>
      <c r="AG18" s="45"/>
      <c r="AH18" s="45"/>
    </row>
    <row r="19" spans="2:34" ht="15">
      <c r="B19" s="9" t="s">
        <v>34</v>
      </c>
      <c r="C19" s="10" t="s">
        <v>35</v>
      </c>
      <c r="D19" s="116">
        <v>0.06874999999999998</v>
      </c>
      <c r="E19" s="35" t="str">
        <f>VLOOKUP(C19,'[1]Codes Sectors Stata'!$C$1:$E$303,3,FALSE)</f>
        <v>Indi</v>
      </c>
      <c r="F19" s="36" t="str">
        <f>VLOOKUP(C19,'[1]Codes Sectors Stata'!$C$1:$E$303,2,FALSE)</f>
        <v>B</v>
      </c>
      <c r="G19" s="26">
        <f>D19*G22</f>
        <v>27499.999999999993</v>
      </c>
      <c r="H19" s="27">
        <v>209</v>
      </c>
      <c r="I19" s="37">
        <f t="shared" si="3"/>
        <v>131.578947368421</v>
      </c>
      <c r="J19" s="27">
        <f>INDEX('[2]Inputs'!$B$4:$F$430,MATCH(C19,'[2]Inputs'!$B$4:$B$430,0),2)/100</f>
        <v>221.19</v>
      </c>
      <c r="K19" s="38">
        <f t="shared" si="4"/>
        <v>29103.947368421042</v>
      </c>
      <c r="L19" s="30">
        <f t="shared" si="5"/>
        <v>1603.9473684210498</v>
      </c>
      <c r="M19" s="31">
        <f t="shared" si="6"/>
        <v>0.05832535885167455</v>
      </c>
      <c r="N19" s="31">
        <f t="shared" si="1"/>
        <v>0.10151571091760547</v>
      </c>
      <c r="O19" s="46"/>
      <c r="P19" s="46"/>
      <c r="Q19" s="46"/>
      <c r="R19" s="46"/>
      <c r="S19" s="46"/>
      <c r="U19" s="111"/>
      <c r="V19" s="109"/>
      <c r="W19" s="112"/>
      <c r="X19" s="113"/>
      <c r="Y19" s="113"/>
      <c r="Z19" s="113"/>
      <c r="AA19" s="45"/>
      <c r="AB19" s="45"/>
      <c r="AC19" s="45"/>
      <c r="AD19" s="45"/>
      <c r="AE19" s="45"/>
      <c r="AF19" s="45"/>
      <c r="AG19" s="45"/>
      <c r="AH19" s="45"/>
    </row>
    <row r="20" spans="2:34" ht="15">
      <c r="B20" s="9" t="s">
        <v>36</v>
      </c>
      <c r="C20" s="10" t="s">
        <v>37</v>
      </c>
      <c r="D20" s="116">
        <v>0.04874999999999998</v>
      </c>
      <c r="E20" s="35" t="str">
        <f>VLOOKUP(C20,'[1]Codes Sectors Stata'!$C$1:$E$303,3,FALSE)</f>
        <v>Fini</v>
      </c>
      <c r="F20" s="36" t="str">
        <f>VLOOKUP(C20,'[1]Codes Sectors Stata'!$C$1:$E$303,2,FALSE)</f>
        <v>B</v>
      </c>
      <c r="G20" s="26">
        <f>D20*G22</f>
        <v>19499.999999999993</v>
      </c>
      <c r="H20" s="27">
        <v>68.63</v>
      </c>
      <c r="I20" s="37">
        <f t="shared" si="3"/>
        <v>284.13230365729265</v>
      </c>
      <c r="J20" s="27">
        <f>INDEX('[2]Inputs'!$B$4:$F$430,MATCH(C20,'[2]Inputs'!$B$4:$B$430,0),2)/100</f>
        <v>87</v>
      </c>
      <c r="K20" s="38">
        <f t="shared" si="4"/>
        <v>24719.51041818446</v>
      </c>
      <c r="L20" s="30">
        <f t="shared" si="5"/>
        <v>5219.510418184469</v>
      </c>
      <c r="M20" s="31">
        <f t="shared" si="6"/>
        <v>0.267667200932537</v>
      </c>
      <c r="N20" s="31">
        <f t="shared" si="1"/>
        <v>0.498602769597692</v>
      </c>
      <c r="O20" s="46"/>
      <c r="P20" s="46"/>
      <c r="Q20" s="46"/>
      <c r="R20" s="46"/>
      <c r="S20" s="46"/>
      <c r="U20" s="111"/>
      <c r="V20" s="109"/>
      <c r="W20" s="112"/>
      <c r="X20" s="113"/>
      <c r="Y20" s="113"/>
      <c r="Z20" s="113"/>
      <c r="AA20" s="45"/>
      <c r="AB20" s="45"/>
      <c r="AC20" s="45"/>
      <c r="AD20" s="45"/>
      <c r="AE20" s="45"/>
      <c r="AF20" s="45"/>
      <c r="AG20" s="45"/>
      <c r="AH20" s="45"/>
    </row>
    <row r="21" spans="2:34" ht="15">
      <c r="B21" s="9" t="s">
        <v>48</v>
      </c>
      <c r="C21" s="10" t="s">
        <v>38</v>
      </c>
      <c r="D21" s="117">
        <v>0.04874999999999998</v>
      </c>
      <c r="E21" s="47" t="str">
        <f>VLOOKUP(C21,'[1]Codes Sectors Stata'!$C$1:$E$303,3,FALSE)</f>
        <v>Indi</v>
      </c>
      <c r="F21" s="48" t="str">
        <f>VLOOKUP(C21,'[1]Codes Sectors Stata'!$C$1:$E$303,2,FALSE)</f>
        <v>B</v>
      </c>
      <c r="G21" s="26">
        <f>D21*G22</f>
        <v>19499.999999999993</v>
      </c>
      <c r="H21" s="27">
        <v>384</v>
      </c>
      <c r="I21" s="37">
        <f t="shared" si="3"/>
        <v>50.78124999999998</v>
      </c>
      <c r="J21" s="27">
        <f>INDEX('[2]Inputs'!$B$4:$F$430,MATCH(C21,'[2]Inputs'!$B$4:$B$430,0),2)/100</f>
        <v>460</v>
      </c>
      <c r="K21" s="38">
        <f t="shared" si="4"/>
        <v>23359.37499999999</v>
      </c>
      <c r="L21" s="30">
        <f t="shared" si="5"/>
        <v>3859.3749999999964</v>
      </c>
      <c r="M21" s="31">
        <f t="shared" si="6"/>
        <v>0.19791666666666655</v>
      </c>
      <c r="N21" s="31">
        <f t="shared" si="1"/>
        <v>0.3607082182642263</v>
      </c>
      <c r="O21" s="46"/>
      <c r="P21" s="46"/>
      <c r="Q21" s="46"/>
      <c r="R21" s="46"/>
      <c r="S21" s="46"/>
      <c r="U21" s="111"/>
      <c r="V21" s="109"/>
      <c r="W21" s="112"/>
      <c r="X21" s="113"/>
      <c r="Y21" s="113"/>
      <c r="Z21" s="113"/>
      <c r="AA21" s="45"/>
      <c r="AB21" s="45"/>
      <c r="AC21" s="45"/>
      <c r="AD21" s="45"/>
      <c r="AE21" s="45"/>
      <c r="AF21" s="45"/>
      <c r="AG21" s="45"/>
      <c r="AH21" s="45"/>
    </row>
    <row r="22" spans="2:34" ht="15">
      <c r="B22" s="12"/>
      <c r="C22" s="13"/>
      <c r="D22" s="14">
        <f>SUM(D6:D21)</f>
        <v>0.9999999999999994</v>
      </c>
      <c r="E22" s="13"/>
      <c r="F22" s="49"/>
      <c r="G22" s="50">
        <v>400000</v>
      </c>
      <c r="H22" s="12"/>
      <c r="I22" s="51"/>
      <c r="J22" s="12"/>
      <c r="K22" s="52">
        <f>SUM(K6:K21)</f>
        <v>447898.7350645176</v>
      </c>
      <c r="L22" s="53">
        <f>SUM(L6:L21)</f>
        <v>47898.73506451765</v>
      </c>
      <c r="M22" s="54">
        <f>L22/G22</f>
        <v>0.11974683766129413</v>
      </c>
      <c r="N22" s="54">
        <f t="shared" si="1"/>
        <v>0.21277203524792343</v>
      </c>
      <c r="O22" s="46"/>
      <c r="P22" s="46"/>
      <c r="Q22" s="46"/>
      <c r="R22" s="46"/>
      <c r="S22" s="46"/>
      <c r="U22" s="111"/>
      <c r="V22" s="109"/>
      <c r="W22" s="112"/>
      <c r="X22" s="113"/>
      <c r="Y22" s="113"/>
      <c r="Z22" s="113"/>
      <c r="AA22" s="45"/>
      <c r="AB22" s="84" t="s">
        <v>78</v>
      </c>
      <c r="AC22" s="85"/>
      <c r="AD22" s="86">
        <f>COUNTIF(Z5:Z12,"&gt;=0")</f>
        <v>4</v>
      </c>
      <c r="AE22" s="87">
        <f>AD22/AD24</f>
        <v>0.5</v>
      </c>
      <c r="AF22" s="45"/>
      <c r="AG22" s="45"/>
      <c r="AH22" s="45"/>
    </row>
    <row r="23" spans="5:34" ht="15"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U23" s="111"/>
      <c r="V23" s="109"/>
      <c r="W23" s="112"/>
      <c r="X23" s="113"/>
      <c r="Y23" s="113"/>
      <c r="Z23" s="113"/>
      <c r="AA23" s="45"/>
      <c r="AB23" s="88" t="s">
        <v>79</v>
      </c>
      <c r="AC23" s="89"/>
      <c r="AD23" s="90">
        <f>COUNTIF(Z5:Z12,"&lt;0")</f>
        <v>4</v>
      </c>
      <c r="AE23" s="91">
        <f>AE24-AE22</f>
        <v>0.5</v>
      </c>
      <c r="AF23" s="45"/>
      <c r="AG23" s="45"/>
      <c r="AH23" s="45"/>
    </row>
    <row r="24" spans="5:34" ht="15"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U24" s="111"/>
      <c r="V24" s="109"/>
      <c r="W24" s="112"/>
      <c r="X24" s="113"/>
      <c r="Y24" s="113"/>
      <c r="Z24" s="113"/>
      <c r="AA24" s="45"/>
      <c r="AB24" s="88" t="s">
        <v>80</v>
      </c>
      <c r="AC24" s="89"/>
      <c r="AD24" s="92">
        <f>AD22+AD23</f>
        <v>8</v>
      </c>
      <c r="AE24" s="93">
        <v>1</v>
      </c>
      <c r="AF24" s="45"/>
      <c r="AG24" s="45"/>
      <c r="AH24" s="45"/>
    </row>
    <row r="25" spans="2:34" ht="15">
      <c r="B25" s="1" t="s">
        <v>95</v>
      </c>
      <c r="C25" s="2" t="s">
        <v>0</v>
      </c>
      <c r="D25" s="2" t="s">
        <v>1</v>
      </c>
      <c r="E25" s="55" t="s">
        <v>60</v>
      </c>
      <c r="F25" s="55" t="s">
        <v>61</v>
      </c>
      <c r="G25" s="55"/>
      <c r="H25" s="56">
        <f>$AB$4</f>
        <v>42886</v>
      </c>
      <c r="I25" s="2"/>
      <c r="J25" s="123">
        <f>$AC$4</f>
        <v>43100</v>
      </c>
      <c r="K25" s="124"/>
      <c r="L25" s="124"/>
      <c r="M25" s="57" t="s">
        <v>62</v>
      </c>
      <c r="N25" s="57" t="s">
        <v>63</v>
      </c>
      <c r="O25" s="58" t="s">
        <v>64</v>
      </c>
      <c r="P25" s="58" t="s">
        <v>65</v>
      </c>
      <c r="Q25" s="59" t="s">
        <v>66</v>
      </c>
      <c r="R25" s="59" t="s">
        <v>67</v>
      </c>
      <c r="S25" s="60" t="s">
        <v>55</v>
      </c>
      <c r="U25" s="111"/>
      <c r="V25" s="109"/>
      <c r="W25" s="112"/>
      <c r="X25" s="113"/>
      <c r="Y25" s="113"/>
      <c r="Z25" s="113"/>
      <c r="AA25" s="46"/>
      <c r="AB25" s="88" t="s">
        <v>81</v>
      </c>
      <c r="AC25" s="89"/>
      <c r="AD25" s="94"/>
      <c r="AE25" s="95">
        <f>MAX(X5:X12)</f>
        <v>0.1350376105770672</v>
      </c>
      <c r="AF25" s="46"/>
      <c r="AG25" s="46"/>
      <c r="AH25" s="46"/>
    </row>
    <row r="26" spans="2:34" ht="15">
      <c r="B26" s="3" t="s">
        <v>2</v>
      </c>
      <c r="C26" s="4" t="s">
        <v>3</v>
      </c>
      <c r="D26" s="5" t="s">
        <v>4</v>
      </c>
      <c r="E26" s="16" t="s">
        <v>49</v>
      </c>
      <c r="F26" s="5" t="s">
        <v>50</v>
      </c>
      <c r="G26" s="16" t="s">
        <v>51</v>
      </c>
      <c r="H26" s="16" t="s">
        <v>52</v>
      </c>
      <c r="I26" s="16" t="s">
        <v>53</v>
      </c>
      <c r="J26" s="17" t="s">
        <v>52</v>
      </c>
      <c r="K26" s="17" t="s">
        <v>54</v>
      </c>
      <c r="L26" s="18" t="s">
        <v>55</v>
      </c>
      <c r="M26" s="16" t="s">
        <v>55</v>
      </c>
      <c r="N26" s="16" t="s">
        <v>55</v>
      </c>
      <c r="O26" s="19" t="s">
        <v>56</v>
      </c>
      <c r="P26" s="20">
        <v>0.53</v>
      </c>
      <c r="Q26" s="21">
        <f>$AD$7</f>
        <v>0.16249199231262001</v>
      </c>
      <c r="R26" s="22">
        <f>SUMIF(E27:E42,O26,G27:G42)/G43</f>
        <v>0.7</v>
      </c>
      <c r="S26" s="23">
        <f>SUMIF(E27:E42,O26,L27:L42)/SUMIF(E27:E42,O26,G27:G42)</f>
        <v>-0.07647497218358187</v>
      </c>
      <c r="U26" s="111"/>
      <c r="V26" s="109"/>
      <c r="W26" s="112"/>
      <c r="X26" s="113"/>
      <c r="Y26" s="113"/>
      <c r="Z26" s="113"/>
      <c r="AA26" s="46"/>
      <c r="AB26" s="88" t="s">
        <v>82</v>
      </c>
      <c r="AC26" s="89"/>
      <c r="AD26" s="96"/>
      <c r="AE26" s="97">
        <f>MIN(X5:X12)</f>
        <v>0.013712139408048052</v>
      </c>
      <c r="AF26" s="46"/>
      <c r="AG26" s="46"/>
      <c r="AH26" s="46"/>
    </row>
    <row r="27" spans="2:34" ht="15">
      <c r="B27" s="6" t="s">
        <v>24</v>
      </c>
      <c r="C27" s="7" t="s">
        <v>24</v>
      </c>
      <c r="D27" s="8">
        <v>0.06</v>
      </c>
      <c r="E27" s="24" t="str">
        <f>VLOOKUP(C27,'[1]Codes Sectors Stata'!$C$1:$E$303,3,FALSE)</f>
        <v>Indi</v>
      </c>
      <c r="F27" s="25" t="str">
        <f>VLOOKUP(C27,'[1]Codes Sectors Stata'!$C$1:$E$303,2,FALSE)</f>
        <v>C</v>
      </c>
      <c r="G27" s="26">
        <f>D27*G43</f>
        <v>24000</v>
      </c>
      <c r="H27" s="27">
        <v>98.66</v>
      </c>
      <c r="I27" s="28">
        <f>G27/H27</f>
        <v>243.25967970808838</v>
      </c>
      <c r="J27" s="27">
        <f>INDEX('[2]Inputs'!$B$4:$F$430,MATCH(C27,'[2]Inputs'!$B$4:$B$430,0),2)/100</f>
        <v>110.56</v>
      </c>
      <c r="K27" s="29">
        <f>I27*J27</f>
        <v>26894.79018852625</v>
      </c>
      <c r="L27" s="30">
        <f>K27-G27</f>
        <v>2894.790188526251</v>
      </c>
      <c r="M27" s="31">
        <f>L27/G27</f>
        <v>0.12061625785526045</v>
      </c>
      <c r="N27" s="31">
        <f aca="true" t="shared" si="7" ref="N27:N43">(1+M27)^(365/$AC$3)-1</f>
        <v>0.21437855875962586</v>
      </c>
      <c r="O27" s="32" t="s">
        <v>57</v>
      </c>
      <c r="P27" s="33">
        <v>0.25</v>
      </c>
      <c r="Q27" s="21">
        <f>$AD$8</f>
        <v>0.11093478707316629</v>
      </c>
      <c r="R27" s="22">
        <f>SUMIF(E27:E42,O27,G27:G42)/G43</f>
        <v>0.2</v>
      </c>
      <c r="S27" s="34">
        <f>SUMIF(E27:E42,O27,L27:L42)/SUMIF(E27:E42,O27,G27:G42)</f>
        <v>0.3320580006378519</v>
      </c>
      <c r="U27" s="111"/>
      <c r="V27" s="109"/>
      <c r="W27" s="112"/>
      <c r="X27" s="113"/>
      <c r="Y27" s="113"/>
      <c r="Z27" s="113"/>
      <c r="AA27" s="46"/>
      <c r="AB27" s="88" t="s">
        <v>83</v>
      </c>
      <c r="AC27" s="89"/>
      <c r="AD27" s="96"/>
      <c r="AE27" s="97">
        <f>AH4</f>
        <v>0.11093478707316629</v>
      </c>
      <c r="AF27" s="46"/>
      <c r="AG27" s="46"/>
      <c r="AH27" s="46"/>
    </row>
    <row r="28" spans="2:34" ht="15">
      <c r="B28" s="9" t="s">
        <v>6</v>
      </c>
      <c r="C28" s="10" t="s">
        <v>7</v>
      </c>
      <c r="D28" s="15">
        <v>0.07</v>
      </c>
      <c r="E28" s="35" t="str">
        <f>VLOOKUP(C28,'[1]Codes Sectors Stata'!$C$1:$E$303,3,FALSE)</f>
        <v>Indi</v>
      </c>
      <c r="F28" s="36" t="str">
        <f>VLOOKUP(C28,'[1]Codes Sectors Stata'!$C$1:$E$303,2,FALSE)</f>
        <v>B</v>
      </c>
      <c r="G28" s="26">
        <f>D28*G43</f>
        <v>28000.000000000004</v>
      </c>
      <c r="H28" s="27">
        <v>299.66</v>
      </c>
      <c r="I28" s="37">
        <f aca="true" t="shared" si="8" ref="I28:I42">G28/H28</f>
        <v>93.43923112861243</v>
      </c>
      <c r="J28" s="27">
        <f>INDEX('[2]Inputs'!$B$4:$F$430,MATCH(C28,'[2]Inputs'!$B$4:$B$430,0),2)/100</f>
        <v>300.99</v>
      </c>
      <c r="K28" s="38">
        <f aca="true" t="shared" si="9" ref="K28:K42">I28*J28</f>
        <v>28124.274177401057</v>
      </c>
      <c r="L28" s="30">
        <f aca="true" t="shared" si="10" ref="L28:L42">K28-G28</f>
        <v>124.27417740105375</v>
      </c>
      <c r="M28" s="31">
        <f aca="true" t="shared" si="11" ref="M28:M42">L28/G28</f>
        <v>0.004438363478609062</v>
      </c>
      <c r="N28" s="31">
        <f t="shared" si="7"/>
        <v>0.0075819545887969575</v>
      </c>
      <c r="O28" s="32" t="s">
        <v>58</v>
      </c>
      <c r="P28" s="39">
        <v>0.22</v>
      </c>
      <c r="Q28" s="21">
        <f>$AD$9</f>
        <v>0</v>
      </c>
      <c r="R28" s="22">
        <f>SUMIF(E27:E42,O28,G27:G42)/G43</f>
        <v>0.1</v>
      </c>
      <c r="S28" s="40">
        <f>SUMIF(E27:E42,O28,L27:L42)/SUMIF(E27:E42,O28,G27:G42)</f>
        <v>0.008330198089849819</v>
      </c>
      <c r="U28" s="111"/>
      <c r="V28" s="109"/>
      <c r="W28" s="112"/>
      <c r="X28" s="113"/>
      <c r="Y28" s="113"/>
      <c r="Z28" s="113"/>
      <c r="AA28" s="46"/>
      <c r="AB28" s="88" t="s">
        <v>84</v>
      </c>
      <c r="AC28" s="89"/>
      <c r="AD28" s="96"/>
      <c r="AE28" s="97">
        <f>Z13</f>
        <v>-0.014667828665994408</v>
      </c>
      <c r="AF28" s="46"/>
      <c r="AG28" s="46"/>
      <c r="AH28" s="46"/>
    </row>
    <row r="29" spans="2:34" ht="15">
      <c r="B29" s="9" t="s">
        <v>25</v>
      </c>
      <c r="C29" s="10" t="s">
        <v>5</v>
      </c>
      <c r="D29" s="15">
        <v>0.06</v>
      </c>
      <c r="E29" s="35" t="str">
        <f>VLOOKUP(C29,'[1]Codes Sectors Stata'!$C$1:$E$303,3,FALSE)</f>
        <v>Indi</v>
      </c>
      <c r="F29" s="36" t="str">
        <f>VLOOKUP(C29,'[1]Codes Sectors Stata'!$C$1:$E$303,2,FALSE)</f>
        <v>A</v>
      </c>
      <c r="G29" s="26">
        <f>D29*G43</f>
        <v>24000</v>
      </c>
      <c r="H29" s="27">
        <v>944.13</v>
      </c>
      <c r="I29" s="37">
        <f t="shared" si="8"/>
        <v>25.420228146547615</v>
      </c>
      <c r="J29" s="27">
        <f>INDEX('[2]Inputs'!$B$4:$F$430,MATCH(C29,'[2]Inputs'!$B$4:$B$430,0),2)/100</f>
        <v>829.5</v>
      </c>
      <c r="K29" s="38">
        <f t="shared" si="9"/>
        <v>21086.079247561247</v>
      </c>
      <c r="L29" s="30">
        <f t="shared" si="10"/>
        <v>-2913.920752438753</v>
      </c>
      <c r="M29" s="31">
        <f t="shared" si="11"/>
        <v>-0.12141336468494804</v>
      </c>
      <c r="N29" s="31">
        <f t="shared" si="7"/>
        <v>-0.19810301432733268</v>
      </c>
      <c r="O29" s="41" t="s">
        <v>59</v>
      </c>
      <c r="P29" s="39">
        <v>1</v>
      </c>
      <c r="Q29" s="42">
        <f>$AD$10</f>
        <v>0</v>
      </c>
      <c r="R29" s="43">
        <f>R26+R27+R28</f>
        <v>0.9999999999999999</v>
      </c>
      <c r="S29" s="44">
        <f>L43/G43</f>
        <v>0.013712139408048052</v>
      </c>
      <c r="U29" s="111"/>
      <c r="V29" s="109"/>
      <c r="W29" s="112"/>
      <c r="X29" s="113"/>
      <c r="Y29" s="113"/>
      <c r="Z29" s="113"/>
      <c r="AA29" s="46"/>
      <c r="AB29" s="88" t="s">
        <v>85</v>
      </c>
      <c r="AC29" s="89"/>
      <c r="AD29" s="98" t="s">
        <v>76</v>
      </c>
      <c r="AE29" s="99">
        <f>COUNTIF($W$5:$W$12,AD29)</f>
        <v>3</v>
      </c>
      <c r="AF29" s="46"/>
      <c r="AG29" s="46"/>
      <c r="AH29" s="46"/>
    </row>
    <row r="30" spans="2:34" ht="15">
      <c r="B30" s="9" t="s">
        <v>96</v>
      </c>
      <c r="C30" s="10" t="s">
        <v>23</v>
      </c>
      <c r="D30" s="15">
        <v>0.07</v>
      </c>
      <c r="E30" s="35" t="str">
        <f>VLOOKUP(C30,'[1]Codes Sectors Stata'!$C$1:$E$303,3,FALSE)</f>
        <v>Indi</v>
      </c>
      <c r="F30" s="36" t="str">
        <f>VLOOKUP(C30,'[1]Codes Sectors Stata'!$C$1:$E$303,2,FALSE)</f>
        <v>A</v>
      </c>
      <c r="G30" s="26">
        <f>D30*G43</f>
        <v>28000.000000000004</v>
      </c>
      <c r="H30" s="27">
        <v>110.61</v>
      </c>
      <c r="I30" s="37">
        <f t="shared" si="8"/>
        <v>253.14166892686018</v>
      </c>
      <c r="J30" s="27">
        <f>INDEX('[2]Inputs'!$B$4:$F$430,MATCH(C30,'[2]Inputs'!$B$4:$B$430,0),2)/100</f>
        <v>111.75</v>
      </c>
      <c r="K30" s="38">
        <f t="shared" si="9"/>
        <v>28288.581502576624</v>
      </c>
      <c r="L30" s="30">
        <f t="shared" si="10"/>
        <v>288.58150257662055</v>
      </c>
      <c r="M30" s="31">
        <f t="shared" si="11"/>
        <v>0.010306482234879304</v>
      </c>
      <c r="N30" s="31">
        <f t="shared" si="7"/>
        <v>0.017642668198353473</v>
      </c>
      <c r="O30" s="46"/>
      <c r="P30" s="46"/>
      <c r="Q30" s="46"/>
      <c r="R30" s="46"/>
      <c r="S30" s="46"/>
      <c r="U30" s="111"/>
      <c r="V30" s="109"/>
      <c r="W30" s="112"/>
      <c r="X30" s="113"/>
      <c r="Y30" s="113"/>
      <c r="Z30" s="113"/>
      <c r="AA30" s="46"/>
      <c r="AB30" s="88" t="s">
        <v>86</v>
      </c>
      <c r="AC30" s="89"/>
      <c r="AD30" s="102" t="s">
        <v>75</v>
      </c>
      <c r="AE30" s="103">
        <f>COUNTIF($W$5:$W$12,AD30)</f>
        <v>5</v>
      </c>
      <c r="AF30" s="46"/>
      <c r="AG30" s="46"/>
      <c r="AH30" s="46"/>
    </row>
    <row r="31" spans="2:34" ht="15">
      <c r="B31" s="9" t="s">
        <v>26</v>
      </c>
      <c r="C31" s="10" t="s">
        <v>27</v>
      </c>
      <c r="D31" s="15">
        <v>0.05</v>
      </c>
      <c r="E31" s="35" t="str">
        <f>VLOOKUP(C31,'[1]Codes Sectors Stata'!$C$1:$E$303,3,FALSE)</f>
        <v>Indi</v>
      </c>
      <c r="F31" s="36" t="str">
        <f>VLOOKUP(C31,'[1]Codes Sectors Stata'!$C$1:$E$303,2,FALSE)</f>
        <v>B</v>
      </c>
      <c r="G31" s="26">
        <f>D31*G43</f>
        <v>20000</v>
      </c>
      <c r="H31" s="27">
        <v>136.22</v>
      </c>
      <c r="I31" s="37">
        <f t="shared" si="8"/>
        <v>146.82131845543972</v>
      </c>
      <c r="J31" s="27">
        <f>INDEX('[2]Inputs'!$B$4:$F$430,MATCH(C31,'[2]Inputs'!$B$4:$B$430,0),2)/100</f>
        <v>181.13</v>
      </c>
      <c r="K31" s="38">
        <f t="shared" si="9"/>
        <v>26593.745411833796</v>
      </c>
      <c r="L31" s="30">
        <f t="shared" si="10"/>
        <v>6593.7454118337955</v>
      </c>
      <c r="M31" s="31">
        <f t="shared" si="11"/>
        <v>0.3296872705916898</v>
      </c>
      <c r="N31" s="31">
        <f t="shared" si="7"/>
        <v>0.625803639735423</v>
      </c>
      <c r="O31" s="46"/>
      <c r="P31" s="46"/>
      <c r="Q31" s="46"/>
      <c r="R31" s="46"/>
      <c r="S31" s="46"/>
      <c r="U31" s="46"/>
      <c r="V31" s="46"/>
      <c r="W31" s="46"/>
      <c r="AA31" s="46"/>
      <c r="AB31" s="88" t="s">
        <v>87</v>
      </c>
      <c r="AC31" s="89"/>
      <c r="AD31" s="96" t="s">
        <v>76</v>
      </c>
      <c r="AE31" s="97">
        <f>SUMIF($W$5:$W$12,AD31,$X$5:$X$12)/AE29</f>
        <v>0.06559105671703205</v>
      </c>
      <c r="AF31" s="46"/>
      <c r="AG31" s="46"/>
      <c r="AH31" s="46"/>
    </row>
    <row r="32" spans="2:34" ht="15">
      <c r="B32" s="11" t="s">
        <v>28</v>
      </c>
      <c r="C32" s="10" t="s">
        <v>29</v>
      </c>
      <c r="D32" s="15">
        <v>0.05</v>
      </c>
      <c r="E32" s="35" t="str">
        <f>VLOOKUP(C32,'[1]Codes Sectors Stata'!$C$1:$E$303,3,FALSE)</f>
        <v>Fini</v>
      </c>
      <c r="F32" s="36" t="str">
        <f>VLOOKUP(C32,'[1]Codes Sectors Stata'!$C$1:$E$303,2,FALSE)</f>
        <v>C</v>
      </c>
      <c r="G32" s="26">
        <f>D32*G43</f>
        <v>20000</v>
      </c>
      <c r="H32" s="27">
        <v>778.78</v>
      </c>
      <c r="I32" s="37">
        <f t="shared" si="8"/>
        <v>25.681193661881405</v>
      </c>
      <c r="J32" s="27">
        <f>INDEX('[2]Inputs'!$B$4:$F$430,MATCH(C32,'[2]Inputs'!$B$4:$B$430,0),2)/100</f>
        <v>1097.96</v>
      </c>
      <c r="K32" s="38">
        <f t="shared" si="9"/>
        <v>28196.92339299931</v>
      </c>
      <c r="L32" s="30">
        <f t="shared" si="10"/>
        <v>8196.92339299931</v>
      </c>
      <c r="M32" s="31">
        <f t="shared" si="11"/>
        <v>0.4098461696499655</v>
      </c>
      <c r="N32" s="31">
        <f t="shared" si="7"/>
        <v>0.7965049403645139</v>
      </c>
      <c r="O32" s="46"/>
      <c r="P32" s="46"/>
      <c r="Q32" s="46"/>
      <c r="R32" s="46"/>
      <c r="S32" s="46"/>
      <c r="U32" s="46"/>
      <c r="V32" s="46"/>
      <c r="W32" s="104"/>
      <c r="X32" s="46"/>
      <c r="Y32" s="46"/>
      <c r="Z32" s="46"/>
      <c r="AA32" s="46"/>
      <c r="AB32" s="105" t="s">
        <v>88</v>
      </c>
      <c r="AC32" s="106"/>
      <c r="AD32" s="107" t="s">
        <v>75</v>
      </c>
      <c r="AE32" s="108">
        <f>SUMIF($W$5:$W$12,AD32,$X$5:$X$12)/AE30</f>
        <v>0.11467249942125576</v>
      </c>
      <c r="AF32" s="46"/>
      <c r="AG32" s="46"/>
      <c r="AH32" s="46"/>
    </row>
    <row r="33" spans="2:19" ht="15">
      <c r="B33" s="9" t="s">
        <v>31</v>
      </c>
      <c r="C33" s="10" t="s">
        <v>31</v>
      </c>
      <c r="D33" s="15">
        <v>0.06</v>
      </c>
      <c r="E33" s="35" t="str">
        <f>VLOOKUP(C33,'[1]Codes Sectors Stata'!$C$1:$E$303,3,FALSE)</f>
        <v>Indi</v>
      </c>
      <c r="F33" s="36" t="str">
        <f>VLOOKUP(C33,'[1]Codes Sectors Stata'!$C$1:$E$303,2,FALSE)</f>
        <v>C</v>
      </c>
      <c r="G33" s="26">
        <f>D33*G43</f>
        <v>24000</v>
      </c>
      <c r="H33" s="27">
        <v>125.75</v>
      </c>
      <c r="I33" s="37">
        <f t="shared" si="8"/>
        <v>190.8548707753479</v>
      </c>
      <c r="J33" s="27">
        <f>INDEX('[2]Inputs'!$B$4:$F$430,MATCH(C33,'[2]Inputs'!$B$4:$B$430,0),2)/100</f>
        <v>67.44</v>
      </c>
      <c r="K33" s="38">
        <f t="shared" si="9"/>
        <v>12871.252485089462</v>
      </c>
      <c r="L33" s="30">
        <f t="shared" si="10"/>
        <v>-11128.747514910538</v>
      </c>
      <c r="M33" s="31">
        <f t="shared" si="11"/>
        <v>-0.4636978131212724</v>
      </c>
      <c r="N33" s="31">
        <f t="shared" si="7"/>
        <v>-0.6544754294327066</v>
      </c>
      <c r="O33" s="46"/>
      <c r="P33" s="46"/>
      <c r="Q33" s="46"/>
      <c r="R33" s="46"/>
      <c r="S33" s="46"/>
    </row>
    <row r="34" spans="2:19" ht="15">
      <c r="B34" s="9" t="s">
        <v>40</v>
      </c>
      <c r="C34" s="10" t="s">
        <v>41</v>
      </c>
      <c r="D34" s="15">
        <v>0.06</v>
      </c>
      <c r="E34" s="35" t="str">
        <f>VLOOKUP(C34,'[1]Codes Sectors Stata'!$C$1:$E$303,3,FALSE)</f>
        <v>Fini</v>
      </c>
      <c r="F34" s="36" t="str">
        <f>VLOOKUP(C34,'[1]Codes Sectors Stata'!$C$1:$E$303,2,FALSE)</f>
        <v>B</v>
      </c>
      <c r="G34" s="26">
        <f>D34*G43</f>
        <v>24000</v>
      </c>
      <c r="H34" s="27">
        <v>49.31</v>
      </c>
      <c r="I34" s="37">
        <f t="shared" si="8"/>
        <v>486.7166903265058</v>
      </c>
      <c r="J34" s="27">
        <f>INDEX('[2]Inputs'!$B$4:$F$430,MATCH(C34,'[2]Inputs'!$B$4:$B$430,0),2)/100</f>
        <v>67.25</v>
      </c>
      <c r="K34" s="38">
        <f t="shared" si="9"/>
        <v>32731.697424457514</v>
      </c>
      <c r="L34" s="30">
        <f t="shared" si="10"/>
        <v>8731.697424457514</v>
      </c>
      <c r="M34" s="31">
        <f t="shared" si="11"/>
        <v>0.36382072601906307</v>
      </c>
      <c r="N34" s="31">
        <f t="shared" si="7"/>
        <v>0.6976299743273777</v>
      </c>
      <c r="O34" s="46"/>
      <c r="P34" s="46"/>
      <c r="Q34" s="46"/>
      <c r="R34" s="46"/>
      <c r="S34" s="46"/>
    </row>
    <row r="35" spans="2:19" ht="15">
      <c r="B35" s="9" t="s">
        <v>8</v>
      </c>
      <c r="C35" s="10" t="s">
        <v>9</v>
      </c>
      <c r="D35" s="15">
        <v>0.07</v>
      </c>
      <c r="E35" s="35" t="str">
        <f>VLOOKUP(C35,'[1]Codes Sectors Stata'!$C$1:$E$303,3,FALSE)</f>
        <v>Indi</v>
      </c>
      <c r="F35" s="36" t="str">
        <f>VLOOKUP(C35,'[1]Codes Sectors Stata'!$C$1:$E$303,2,FALSE)</f>
        <v>B</v>
      </c>
      <c r="G35" s="26">
        <f>D35*G43</f>
        <v>28000.000000000004</v>
      </c>
      <c r="H35" s="27">
        <v>136</v>
      </c>
      <c r="I35" s="37">
        <f t="shared" si="8"/>
        <v>205.8823529411765</v>
      </c>
      <c r="J35" s="27">
        <f>INDEX('[2]Inputs'!$B$4:$F$430,MATCH(C35,'[2]Inputs'!$B$4:$B$430,0),2)/100</f>
        <v>106.38</v>
      </c>
      <c r="K35" s="38">
        <f t="shared" si="9"/>
        <v>21901.764705882353</v>
      </c>
      <c r="L35" s="30">
        <f t="shared" si="10"/>
        <v>-6098.2352941176505</v>
      </c>
      <c r="M35" s="31">
        <f t="shared" si="11"/>
        <v>-0.21779411764705892</v>
      </c>
      <c r="N35" s="31">
        <f t="shared" si="7"/>
        <v>-0.342270028350921</v>
      </c>
      <c r="O35" s="46"/>
      <c r="P35" s="46"/>
      <c r="Q35" s="46"/>
      <c r="R35" s="46"/>
      <c r="S35" s="46"/>
    </row>
    <row r="36" spans="2:19" ht="15">
      <c r="B36" s="9" t="s">
        <v>97</v>
      </c>
      <c r="C36" s="10" t="s">
        <v>43</v>
      </c>
      <c r="D36" s="15">
        <v>0.05</v>
      </c>
      <c r="E36" s="35" t="str">
        <f>VLOOKUP(C36,'[1]Codes Sectors Stata'!$C$1:$E$303,3,FALSE)</f>
        <v>Resi</v>
      </c>
      <c r="F36" s="36" t="str">
        <f>VLOOKUP(C36,'[1]Codes Sectors Stata'!$C$1:$E$303,2,FALSE)</f>
        <v>B</v>
      </c>
      <c r="G36" s="26">
        <f>D36*G43</f>
        <v>20000</v>
      </c>
      <c r="H36" s="27">
        <v>345.29</v>
      </c>
      <c r="I36" s="37">
        <f t="shared" si="8"/>
        <v>57.92232616061861</v>
      </c>
      <c r="J36" s="27">
        <f>INDEX('[2]Inputs'!$B$4:$F$430,MATCH(C36,'[2]Inputs'!$B$4:$B$430,0),2)/100</f>
        <v>319.27</v>
      </c>
      <c r="K36" s="38">
        <f t="shared" si="9"/>
        <v>18492.8610733007</v>
      </c>
      <c r="L36" s="30">
        <f t="shared" si="10"/>
        <v>-1507.1389266992992</v>
      </c>
      <c r="M36" s="31">
        <f t="shared" si="11"/>
        <v>-0.07535694633496495</v>
      </c>
      <c r="N36" s="31">
        <f t="shared" si="7"/>
        <v>-0.12508635452635208</v>
      </c>
      <c r="O36" s="46"/>
      <c r="P36" s="46"/>
      <c r="Q36" s="46"/>
      <c r="R36" s="46"/>
      <c r="S36" s="46"/>
    </row>
    <row r="37" spans="2:19" ht="15">
      <c r="B37" s="9" t="s">
        <v>10</v>
      </c>
      <c r="C37" s="10" t="s">
        <v>11</v>
      </c>
      <c r="D37" s="15">
        <v>0.06</v>
      </c>
      <c r="E37" s="35" t="str">
        <f>VLOOKUP(C37,'[1]Codes Sectors Stata'!$C$1:$E$303,3,FALSE)</f>
        <v>Indi</v>
      </c>
      <c r="F37" s="36" t="str">
        <f>VLOOKUP(C37,'[1]Codes Sectors Stata'!$C$1:$E$303,2,FALSE)</f>
        <v>A</v>
      </c>
      <c r="G37" s="26">
        <f>D37*G43</f>
        <v>24000</v>
      </c>
      <c r="H37" s="27">
        <v>2715.56</v>
      </c>
      <c r="I37" s="37">
        <f t="shared" si="8"/>
        <v>8.837956075358306</v>
      </c>
      <c r="J37" s="27">
        <f>INDEX('[2]Inputs'!$B$4:$F$430,MATCH(C37,'[2]Inputs'!$B$4:$B$430,0),2)/100</f>
        <v>3451</v>
      </c>
      <c r="K37" s="38">
        <f t="shared" si="9"/>
        <v>30499.786416061514</v>
      </c>
      <c r="L37" s="30">
        <f t="shared" si="10"/>
        <v>6499.786416061514</v>
      </c>
      <c r="M37" s="31">
        <f t="shared" si="11"/>
        <v>0.27082443400256306</v>
      </c>
      <c r="N37" s="31">
        <f t="shared" si="7"/>
        <v>0.5049743674903695</v>
      </c>
      <c r="O37" s="46"/>
      <c r="P37" s="46"/>
      <c r="Q37" s="46"/>
      <c r="R37" s="46"/>
      <c r="S37" s="46"/>
    </row>
    <row r="38" spans="2:19" ht="15">
      <c r="B38" s="9" t="s">
        <v>34</v>
      </c>
      <c r="C38" s="10" t="s">
        <v>35</v>
      </c>
      <c r="D38" s="15">
        <v>0.08</v>
      </c>
      <c r="E38" s="35" t="str">
        <f>VLOOKUP(C38,'[1]Codes Sectors Stata'!$C$1:$E$303,3,FALSE)</f>
        <v>Indi</v>
      </c>
      <c r="F38" s="36" t="str">
        <f>VLOOKUP(C38,'[1]Codes Sectors Stata'!$C$1:$E$303,2,FALSE)</f>
        <v>B</v>
      </c>
      <c r="G38" s="26">
        <f>D38*G43</f>
        <v>32000</v>
      </c>
      <c r="H38" s="27">
        <v>209</v>
      </c>
      <c r="I38" s="37">
        <f t="shared" si="8"/>
        <v>153.11004784688996</v>
      </c>
      <c r="J38" s="27">
        <f>INDEX('[2]Inputs'!$B$4:$F$430,MATCH(C38,'[2]Inputs'!$B$4:$B$430,0),2)/100</f>
        <v>221.19</v>
      </c>
      <c r="K38" s="38">
        <f t="shared" si="9"/>
        <v>33866.41148325359</v>
      </c>
      <c r="L38" s="30">
        <f t="shared" si="10"/>
        <v>1866.4114832535925</v>
      </c>
      <c r="M38" s="31">
        <f t="shared" si="11"/>
        <v>0.058325358851674766</v>
      </c>
      <c r="N38" s="31">
        <f t="shared" si="7"/>
        <v>0.10151571091760592</v>
      </c>
      <c r="O38" s="46"/>
      <c r="P38" s="46"/>
      <c r="Q38" s="46"/>
      <c r="R38" s="46"/>
      <c r="S38" s="46"/>
    </row>
    <row r="39" spans="2:19" ht="15">
      <c r="B39" s="9" t="s">
        <v>36</v>
      </c>
      <c r="C39" s="10" t="s">
        <v>37</v>
      </c>
      <c r="D39" s="15">
        <v>0.09</v>
      </c>
      <c r="E39" s="35" t="str">
        <f>VLOOKUP(C39,'[1]Codes Sectors Stata'!$C$1:$E$303,3,FALSE)</f>
        <v>Fini</v>
      </c>
      <c r="F39" s="36" t="str">
        <f>VLOOKUP(C39,'[1]Codes Sectors Stata'!$C$1:$E$303,2,FALSE)</f>
        <v>B</v>
      </c>
      <c r="G39" s="26">
        <f>D39*G43</f>
        <v>36000</v>
      </c>
      <c r="H39" s="27">
        <v>68.63</v>
      </c>
      <c r="I39" s="37">
        <f t="shared" si="8"/>
        <v>524.5519452134636</v>
      </c>
      <c r="J39" s="27">
        <f>INDEX('[2]Inputs'!$B$4:$F$430,MATCH(C39,'[2]Inputs'!$B$4:$B$430,0),2)/100</f>
        <v>87</v>
      </c>
      <c r="K39" s="38">
        <f t="shared" si="9"/>
        <v>45636.01923357133</v>
      </c>
      <c r="L39" s="30">
        <f t="shared" si="10"/>
        <v>9636.01923357133</v>
      </c>
      <c r="M39" s="31">
        <f t="shared" si="11"/>
        <v>0.26766720093253693</v>
      </c>
      <c r="N39" s="31">
        <f t="shared" si="7"/>
        <v>0.498602769597692</v>
      </c>
      <c r="O39" s="46"/>
      <c r="P39" s="46"/>
      <c r="Q39" s="46"/>
      <c r="R39" s="46"/>
      <c r="S39" s="46"/>
    </row>
    <row r="40" spans="2:19" ht="15">
      <c r="B40" s="9" t="s">
        <v>12</v>
      </c>
      <c r="C40" s="10" t="s">
        <v>13</v>
      </c>
      <c r="D40" s="15">
        <v>0.05</v>
      </c>
      <c r="E40" s="35" t="str">
        <f>VLOOKUP(C40,'[1]Codes Sectors Stata'!$C$1:$E$303,3,FALSE)</f>
        <v>Indi</v>
      </c>
      <c r="F40" s="36" t="str">
        <f>VLOOKUP(C40,'[1]Codes Sectors Stata'!$C$1:$E$303,2,FALSE)</f>
        <v>A</v>
      </c>
      <c r="G40" s="26">
        <f>D40*G43</f>
        <v>20000</v>
      </c>
      <c r="H40" s="27">
        <v>70</v>
      </c>
      <c r="I40" s="37">
        <f t="shared" si="8"/>
        <v>285.7142857142857</v>
      </c>
      <c r="J40" s="27">
        <f>INDEX('[2]Inputs'!$B$4:$F$430,MATCH(C40,'[2]Inputs'!$B$4:$B$430,0),2)/100</f>
        <v>4.65</v>
      </c>
      <c r="K40" s="38">
        <f t="shared" si="9"/>
        <v>1328.5714285714287</v>
      </c>
      <c r="L40" s="30">
        <f t="shared" si="10"/>
        <v>-18671.428571428572</v>
      </c>
      <c r="M40" s="31">
        <f t="shared" si="11"/>
        <v>-0.9335714285714286</v>
      </c>
      <c r="N40" s="31">
        <f t="shared" si="7"/>
        <v>-0.9901960805456957</v>
      </c>
      <c r="O40" s="46"/>
      <c r="P40" s="46"/>
      <c r="Q40" s="46"/>
      <c r="R40" s="46"/>
      <c r="S40" s="46"/>
    </row>
    <row r="41" spans="2:19" ht="15">
      <c r="B41" s="9" t="s">
        <v>14</v>
      </c>
      <c r="C41" s="10" t="s">
        <v>15</v>
      </c>
      <c r="D41" s="15">
        <v>0.05</v>
      </c>
      <c r="E41" s="35" t="str">
        <f>VLOOKUP(C41,'[1]Codes Sectors Stata'!$C$1:$E$303,3,FALSE)</f>
        <v>Resi</v>
      </c>
      <c r="F41" s="36" t="str">
        <f>VLOOKUP(C41,'[1]Codes Sectors Stata'!$C$1:$E$303,2,FALSE)</f>
        <v>A</v>
      </c>
      <c r="G41" s="26">
        <f>D41*G43</f>
        <v>20000</v>
      </c>
      <c r="H41" s="27">
        <v>392.1</v>
      </c>
      <c r="I41" s="37">
        <f t="shared" si="8"/>
        <v>51.0073960724305</v>
      </c>
      <c r="J41" s="27">
        <f>INDEX('[2]Inputs'!$B$4:$F$430,MATCH(C41,'[2]Inputs'!$B$4:$B$430,0),2)/100</f>
        <v>428.18</v>
      </c>
      <c r="K41" s="38">
        <f t="shared" si="9"/>
        <v>21840.346850293292</v>
      </c>
      <c r="L41" s="30">
        <f t="shared" si="10"/>
        <v>1840.346850293292</v>
      </c>
      <c r="M41" s="31">
        <f t="shared" si="11"/>
        <v>0.09201734251466459</v>
      </c>
      <c r="N41" s="31">
        <f t="shared" si="7"/>
        <v>0.16199586237756414</v>
      </c>
      <c r="O41" s="46"/>
      <c r="P41" s="46"/>
      <c r="Q41" s="46"/>
      <c r="R41" s="46"/>
      <c r="S41" s="46"/>
    </row>
    <row r="42" spans="2:19" ht="15">
      <c r="B42" s="9" t="s">
        <v>39</v>
      </c>
      <c r="C42" s="10" t="s">
        <v>20</v>
      </c>
      <c r="D42" s="15">
        <v>0.07</v>
      </c>
      <c r="E42" s="47" t="str">
        <f>VLOOKUP(C42,'[1]Codes Sectors Stata'!$C$1:$E$303,3,FALSE)</f>
        <v>Indi</v>
      </c>
      <c r="F42" s="48" t="str">
        <f>VLOOKUP(C42,'[1]Codes Sectors Stata'!$C$1:$E$303,2,FALSE)</f>
        <v>B</v>
      </c>
      <c r="G42" s="26">
        <f>D42*G43</f>
        <v>28000.000000000004</v>
      </c>
      <c r="H42" s="27">
        <v>67.4</v>
      </c>
      <c r="I42" s="37">
        <f t="shared" si="8"/>
        <v>415.43026706231456</v>
      </c>
      <c r="J42" s="27">
        <f>INDEX('[2]Inputs'!$B$4:$F$430,MATCH(C42,'[2]Inputs'!$B$4:$B$430,0),2)/100</f>
        <v>65.31</v>
      </c>
      <c r="K42" s="38">
        <f t="shared" si="9"/>
        <v>27131.750741839765</v>
      </c>
      <c r="L42" s="30">
        <f t="shared" si="10"/>
        <v>-868.2492581602382</v>
      </c>
      <c r="M42" s="31">
        <f t="shared" si="11"/>
        <v>-0.031008902077151363</v>
      </c>
      <c r="N42" s="31">
        <f t="shared" si="7"/>
        <v>-0.052308627817396536</v>
      </c>
      <c r="O42" s="46"/>
      <c r="P42" s="46"/>
      <c r="Q42" s="46"/>
      <c r="R42" s="46"/>
      <c r="S42" s="46"/>
    </row>
    <row r="43" spans="2:19" ht="15">
      <c r="B43" s="12"/>
      <c r="C43" s="13"/>
      <c r="D43" s="14">
        <f>SUM(D27:D42)</f>
        <v>1.0000000000000002</v>
      </c>
      <c r="E43" s="13"/>
      <c r="F43" s="49"/>
      <c r="G43" s="50">
        <v>400000</v>
      </c>
      <c r="H43" s="12"/>
      <c r="I43" s="51"/>
      <c r="J43" s="12"/>
      <c r="K43" s="52">
        <f>SUM(K27:K42)</f>
        <v>405484.85576321924</v>
      </c>
      <c r="L43" s="53">
        <f>SUM(L27:L42)</f>
        <v>5484.8557632192205</v>
      </c>
      <c r="M43" s="54">
        <f>L43/G43</f>
        <v>0.013712139408048052</v>
      </c>
      <c r="N43" s="54">
        <f t="shared" si="7"/>
        <v>0.023500517627162543</v>
      </c>
      <c r="O43" s="46"/>
      <c r="P43" s="46"/>
      <c r="Q43" s="46"/>
      <c r="R43" s="46"/>
      <c r="S43" s="46"/>
    </row>
    <row r="44" spans="5:19" ht="15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5:19" ht="15"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2:19" ht="15">
      <c r="B46" s="1" t="s">
        <v>98</v>
      </c>
      <c r="C46" s="2" t="s">
        <v>0</v>
      </c>
      <c r="D46" s="2" t="s">
        <v>1</v>
      </c>
      <c r="E46" s="55" t="s">
        <v>60</v>
      </c>
      <c r="F46" s="55" t="s">
        <v>61</v>
      </c>
      <c r="G46" s="55"/>
      <c r="H46" s="56">
        <v>42886</v>
      </c>
      <c r="I46" s="2"/>
      <c r="J46" s="123">
        <f>$AC$4</f>
        <v>43100</v>
      </c>
      <c r="K46" s="124"/>
      <c r="L46" s="124"/>
      <c r="M46" s="57" t="s">
        <v>62</v>
      </c>
      <c r="N46" s="57" t="s">
        <v>63</v>
      </c>
      <c r="O46" s="58" t="s">
        <v>64</v>
      </c>
      <c r="P46" s="58" t="s">
        <v>65</v>
      </c>
      <c r="Q46" s="59" t="s">
        <v>66</v>
      </c>
      <c r="R46" s="59" t="s">
        <v>67</v>
      </c>
      <c r="S46" s="60" t="s">
        <v>55</v>
      </c>
    </row>
    <row r="47" spans="2:19" ht="15">
      <c r="B47" s="3" t="s">
        <v>2</v>
      </c>
      <c r="C47" s="4" t="s">
        <v>3</v>
      </c>
      <c r="D47" s="5" t="s">
        <v>4</v>
      </c>
      <c r="E47" s="16" t="s">
        <v>49</v>
      </c>
      <c r="F47" s="5" t="s">
        <v>50</v>
      </c>
      <c r="G47" s="16" t="s">
        <v>51</v>
      </c>
      <c r="H47" s="16" t="s">
        <v>52</v>
      </c>
      <c r="I47" s="16" t="s">
        <v>53</v>
      </c>
      <c r="J47" s="17" t="s">
        <v>52</v>
      </c>
      <c r="K47" s="17" t="s">
        <v>54</v>
      </c>
      <c r="L47" s="18" t="s">
        <v>55</v>
      </c>
      <c r="M47" s="16" t="s">
        <v>55</v>
      </c>
      <c r="N47" s="16" t="s">
        <v>55</v>
      </c>
      <c r="O47" s="19" t="s">
        <v>56</v>
      </c>
      <c r="P47" s="20">
        <v>0.53</v>
      </c>
      <c r="Q47" s="21">
        <f>$AD$7</f>
        <v>0.16249199231262001</v>
      </c>
      <c r="R47" s="22">
        <f>SUMIF(E48:E63,O47,G48:G63)/G64</f>
        <v>0.74</v>
      </c>
      <c r="S47" s="23">
        <f>SUMIF(E48:E63,O47,L48:L63)/SUMIF(E48:E63,O47,G48:G63)</f>
        <v>0.0078105604393683675</v>
      </c>
    </row>
    <row r="48" spans="2:19" ht="15">
      <c r="B48" s="6" t="s">
        <v>24</v>
      </c>
      <c r="C48" s="7" t="s">
        <v>24</v>
      </c>
      <c r="D48" s="8">
        <v>0.04</v>
      </c>
      <c r="E48" s="24" t="str">
        <f>VLOOKUP(C48,'[1]Codes Sectors Stata'!$C$1:$E$303,3,FALSE)</f>
        <v>Indi</v>
      </c>
      <c r="F48" s="25" t="str">
        <f>VLOOKUP(C48,'[1]Codes Sectors Stata'!$C$1:$E$303,2,FALSE)</f>
        <v>C</v>
      </c>
      <c r="G48" s="26">
        <f>D48*G64</f>
        <v>16000</v>
      </c>
      <c r="H48" s="27">
        <v>98.66</v>
      </c>
      <c r="I48" s="28">
        <f>G48/H48</f>
        <v>162.17311980539228</v>
      </c>
      <c r="J48" s="27">
        <f>INDEX('[2]Inputs'!$B$4:$F$430,MATCH(C48,'[2]Inputs'!$B$4:$B$430,0),2)/100</f>
        <v>110.56</v>
      </c>
      <c r="K48" s="29">
        <f>I48*J48</f>
        <v>17929.860125684172</v>
      </c>
      <c r="L48" s="30">
        <f>K48-G48</f>
        <v>1929.860125684172</v>
      </c>
      <c r="M48" s="31">
        <f>L48/G48</f>
        <v>0.12061625785526076</v>
      </c>
      <c r="N48" s="31">
        <f aca="true" t="shared" si="12" ref="N48:N64">(1+M48)^(365/$AC$3)-1</f>
        <v>0.2143785587596263</v>
      </c>
      <c r="O48" s="32" t="s">
        <v>57</v>
      </c>
      <c r="P48" s="33">
        <v>0.25</v>
      </c>
      <c r="Q48" s="21">
        <f>$AD$8</f>
        <v>0.11093478707316629</v>
      </c>
      <c r="R48" s="22">
        <f>SUMIF(E48:E63,O48,G48:G63)/G64</f>
        <v>0.26</v>
      </c>
      <c r="S48" s="34">
        <f>SUMIF(E48:E63,O48,L48:L63)/SUMIF(E48:E63,O48,G48:G63)</f>
        <v>0.3643677311528158</v>
      </c>
    </row>
    <row r="49" spans="2:19" ht="15">
      <c r="B49" s="9" t="s">
        <v>6</v>
      </c>
      <c r="C49" s="10" t="s">
        <v>7</v>
      </c>
      <c r="D49" s="15">
        <v>0.07</v>
      </c>
      <c r="E49" s="35" t="str">
        <f>VLOOKUP(C49,'[1]Codes Sectors Stata'!$C$1:$E$303,3,FALSE)</f>
        <v>Indi</v>
      </c>
      <c r="F49" s="36" t="str">
        <f>VLOOKUP(C49,'[1]Codes Sectors Stata'!$C$1:$E$303,2,FALSE)</f>
        <v>B</v>
      </c>
      <c r="G49" s="26">
        <f>D49*G64</f>
        <v>28000.000000000004</v>
      </c>
      <c r="H49" s="27">
        <v>299.66</v>
      </c>
      <c r="I49" s="37">
        <f aca="true" t="shared" si="13" ref="I49:I63">G49/H49</f>
        <v>93.43923112861243</v>
      </c>
      <c r="J49" s="27">
        <f>INDEX('[2]Inputs'!$B$4:$F$430,MATCH(C49,'[2]Inputs'!$B$4:$B$430,0),2)/100</f>
        <v>300.99</v>
      </c>
      <c r="K49" s="38">
        <f aca="true" t="shared" si="14" ref="K49:K63">I49*J49</f>
        <v>28124.274177401057</v>
      </c>
      <c r="L49" s="30">
        <f aca="true" t="shared" si="15" ref="L49:L63">K49-G49</f>
        <v>124.27417740105375</v>
      </c>
      <c r="M49" s="31">
        <f aca="true" t="shared" si="16" ref="M49:M63">L49/G49</f>
        <v>0.004438363478609062</v>
      </c>
      <c r="N49" s="31">
        <f t="shared" si="12"/>
        <v>0.0075819545887969575</v>
      </c>
      <c r="O49" s="32" t="s">
        <v>58</v>
      </c>
      <c r="P49" s="39">
        <v>0.22</v>
      </c>
      <c r="Q49" s="21">
        <f>$AD$9</f>
        <v>0</v>
      </c>
      <c r="R49" s="22">
        <f>SUMIF(E48:E63,O49,G48:G63)/G64</f>
        <v>0</v>
      </c>
      <c r="S49" s="40" t="e">
        <f>SUMIF(E48:E63,O49,L48:L63)/SUMIF(E48:E63,O49,G48:G63)</f>
        <v>#DIV/0!</v>
      </c>
    </row>
    <row r="50" spans="2:19" ht="15">
      <c r="B50" s="9" t="s">
        <v>25</v>
      </c>
      <c r="C50" s="10" t="s">
        <v>5</v>
      </c>
      <c r="D50" s="15">
        <v>0.1</v>
      </c>
      <c r="E50" s="35" t="str">
        <f>VLOOKUP(C50,'[1]Codes Sectors Stata'!$C$1:$E$303,3,FALSE)</f>
        <v>Indi</v>
      </c>
      <c r="F50" s="36" t="str">
        <f>VLOOKUP(C50,'[1]Codes Sectors Stata'!$C$1:$E$303,2,FALSE)</f>
        <v>A</v>
      </c>
      <c r="G50" s="26">
        <f>D50*G64</f>
        <v>40000</v>
      </c>
      <c r="H50" s="27">
        <v>944.13</v>
      </c>
      <c r="I50" s="37">
        <f t="shared" si="13"/>
        <v>42.36704691091269</v>
      </c>
      <c r="J50" s="27">
        <f>INDEX('[2]Inputs'!$B$4:$F$430,MATCH(C50,'[2]Inputs'!$B$4:$B$430,0),2)/100</f>
        <v>829.5</v>
      </c>
      <c r="K50" s="38">
        <f t="shared" si="14"/>
        <v>35143.465412602076</v>
      </c>
      <c r="L50" s="30">
        <f t="shared" si="15"/>
        <v>-4856.534587397924</v>
      </c>
      <c r="M50" s="31">
        <f t="shared" si="16"/>
        <v>-0.12141336468494811</v>
      </c>
      <c r="N50" s="31">
        <f t="shared" si="12"/>
        <v>-0.1981030143273328</v>
      </c>
      <c r="O50" s="41" t="s">
        <v>59</v>
      </c>
      <c r="P50" s="39">
        <v>1</v>
      </c>
      <c r="Q50" s="42">
        <f>$AD$10</f>
        <v>0</v>
      </c>
      <c r="R50" s="43">
        <f>R47+R48+R49</f>
        <v>1</v>
      </c>
      <c r="S50" s="44">
        <f>L64/G64</f>
        <v>0.10051542482486471</v>
      </c>
    </row>
    <row r="51" spans="2:19" ht="15">
      <c r="B51" s="9" t="s">
        <v>22</v>
      </c>
      <c r="C51" s="10" t="s">
        <v>23</v>
      </c>
      <c r="D51" s="15">
        <v>0.08</v>
      </c>
      <c r="E51" s="35" t="str">
        <f>VLOOKUP(C51,'[1]Codes Sectors Stata'!$C$1:$E$303,3,FALSE)</f>
        <v>Indi</v>
      </c>
      <c r="F51" s="36" t="str">
        <f>VLOOKUP(C51,'[1]Codes Sectors Stata'!$C$1:$E$303,2,FALSE)</f>
        <v>A</v>
      </c>
      <c r="G51" s="26">
        <f>D51*G64</f>
        <v>32000</v>
      </c>
      <c r="H51" s="27">
        <v>110.61</v>
      </c>
      <c r="I51" s="37">
        <f t="shared" si="13"/>
        <v>289.30476448784015</v>
      </c>
      <c r="J51" s="27">
        <f>INDEX('[2]Inputs'!$B$4:$F$430,MATCH(C51,'[2]Inputs'!$B$4:$B$430,0),2)/100</f>
        <v>111.75</v>
      </c>
      <c r="K51" s="38">
        <f t="shared" si="14"/>
        <v>32329.807431516136</v>
      </c>
      <c r="L51" s="30">
        <f t="shared" si="15"/>
        <v>329.8074315161357</v>
      </c>
      <c r="M51" s="31">
        <f t="shared" si="16"/>
        <v>0.01030648223487924</v>
      </c>
      <c r="N51" s="31">
        <f t="shared" si="12"/>
        <v>0.017642668198353473</v>
      </c>
      <c r="O51" s="45"/>
      <c r="P51" s="45"/>
      <c r="Q51" s="45"/>
      <c r="R51" s="45"/>
      <c r="S51" s="45"/>
    </row>
    <row r="52" spans="2:19" ht="15">
      <c r="B52" s="11" t="s">
        <v>26</v>
      </c>
      <c r="C52" s="10" t="s">
        <v>27</v>
      </c>
      <c r="D52" s="15">
        <v>0.03</v>
      </c>
      <c r="E52" s="35" t="str">
        <f>VLOOKUP(C52,'[1]Codes Sectors Stata'!$C$1:$E$303,3,FALSE)</f>
        <v>Indi</v>
      </c>
      <c r="F52" s="36" t="str">
        <f>VLOOKUP(C52,'[1]Codes Sectors Stata'!$C$1:$E$303,2,FALSE)</f>
        <v>B</v>
      </c>
      <c r="G52" s="26">
        <f>D52*G64</f>
        <v>12000</v>
      </c>
      <c r="H52" s="27">
        <v>136.22</v>
      </c>
      <c r="I52" s="37">
        <f t="shared" si="13"/>
        <v>88.09279107326384</v>
      </c>
      <c r="J52" s="27">
        <f>INDEX('[2]Inputs'!$B$4:$F$430,MATCH(C52,'[2]Inputs'!$B$4:$B$430,0),2)/100</f>
        <v>181.13</v>
      </c>
      <c r="K52" s="38">
        <f t="shared" si="14"/>
        <v>15956.247247100278</v>
      </c>
      <c r="L52" s="30">
        <f t="shared" si="15"/>
        <v>3956.2472471002784</v>
      </c>
      <c r="M52" s="31">
        <f t="shared" si="16"/>
        <v>0.32968727059168984</v>
      </c>
      <c r="N52" s="31">
        <f t="shared" si="12"/>
        <v>0.625803639735423</v>
      </c>
      <c r="O52" s="45"/>
      <c r="P52" s="45"/>
      <c r="Q52" s="45"/>
      <c r="R52" s="45"/>
      <c r="S52" s="45"/>
    </row>
    <row r="53" spans="2:19" ht="15">
      <c r="B53" s="9" t="s">
        <v>28</v>
      </c>
      <c r="C53" s="10" t="s">
        <v>29</v>
      </c>
      <c r="D53" s="15">
        <v>0.06</v>
      </c>
      <c r="E53" s="35" t="str">
        <f>VLOOKUP(C53,'[1]Codes Sectors Stata'!$C$1:$E$303,3,FALSE)</f>
        <v>Fini</v>
      </c>
      <c r="F53" s="36" t="str">
        <f>VLOOKUP(C53,'[1]Codes Sectors Stata'!$C$1:$E$303,2,FALSE)</f>
        <v>C</v>
      </c>
      <c r="G53" s="26">
        <f>D53*G64</f>
        <v>24000</v>
      </c>
      <c r="H53" s="27">
        <v>778.78</v>
      </c>
      <c r="I53" s="37">
        <f t="shared" si="13"/>
        <v>30.817432394257686</v>
      </c>
      <c r="J53" s="27">
        <f>INDEX('[2]Inputs'!$B$4:$F$430,MATCH(C53,'[2]Inputs'!$B$4:$B$430,0),2)/100</f>
        <v>1097.96</v>
      </c>
      <c r="K53" s="38">
        <f t="shared" si="14"/>
        <v>33836.30807159917</v>
      </c>
      <c r="L53" s="30">
        <f t="shared" si="15"/>
        <v>9836.308071599167</v>
      </c>
      <c r="M53" s="31">
        <f t="shared" si="16"/>
        <v>0.4098461696499653</v>
      </c>
      <c r="N53" s="31">
        <f t="shared" si="12"/>
        <v>0.7965049403645135</v>
      </c>
      <c r="O53" s="45"/>
      <c r="P53" s="45"/>
      <c r="Q53" s="45"/>
      <c r="R53" s="45"/>
      <c r="S53" s="45"/>
    </row>
    <row r="54" spans="2:19" ht="15">
      <c r="B54" s="9" t="s">
        <v>30</v>
      </c>
      <c r="C54" s="10" t="s">
        <v>19</v>
      </c>
      <c r="D54" s="15">
        <v>0.04</v>
      </c>
      <c r="E54" s="35" t="str">
        <f>VLOOKUP(C54,'[1]Codes Sectors Stata'!$C$1:$E$303,3,FALSE)</f>
        <v>Fini</v>
      </c>
      <c r="F54" s="36" t="str">
        <f>VLOOKUP(C54,'[1]Codes Sectors Stata'!$C$1:$E$303,2,FALSE)</f>
        <v>B</v>
      </c>
      <c r="G54" s="26">
        <f>D54*G64</f>
        <v>16000</v>
      </c>
      <c r="H54" s="27">
        <v>128.12</v>
      </c>
      <c r="I54" s="37">
        <f t="shared" si="13"/>
        <v>124.8829222603809</v>
      </c>
      <c r="J54" s="27">
        <f>INDEX('[2]Inputs'!$B$4:$F$430,MATCH(C54,'[2]Inputs'!$B$4:$B$430,0),2)/100</f>
        <v>186</v>
      </c>
      <c r="K54" s="38">
        <f t="shared" si="14"/>
        <v>23228.223540430845</v>
      </c>
      <c r="L54" s="30">
        <f t="shared" si="15"/>
        <v>7228.223540430845</v>
      </c>
      <c r="M54" s="31">
        <f t="shared" si="16"/>
        <v>0.4517639712769278</v>
      </c>
      <c r="N54" s="31">
        <f t="shared" si="12"/>
        <v>0.8885611535888489</v>
      </c>
      <c r="O54" s="45"/>
      <c r="P54" s="45"/>
      <c r="Q54" s="45"/>
      <c r="R54" s="45"/>
      <c r="S54" s="45"/>
    </row>
    <row r="55" spans="2:19" ht="15">
      <c r="B55" s="9" t="s">
        <v>31</v>
      </c>
      <c r="C55" s="10" t="s">
        <v>31</v>
      </c>
      <c r="D55" s="15">
        <v>0.04</v>
      </c>
      <c r="E55" s="35" t="s">
        <v>56</v>
      </c>
      <c r="F55" s="36" t="s">
        <v>68</v>
      </c>
      <c r="G55" s="26">
        <f>D55*G64</f>
        <v>16000</v>
      </c>
      <c r="H55" s="27">
        <v>125.75</v>
      </c>
      <c r="I55" s="37">
        <f t="shared" si="13"/>
        <v>127.23658051689861</v>
      </c>
      <c r="J55" s="27">
        <f>INDEX('[2]Inputs'!$B$4:$F$430,MATCH(C55,'[2]Inputs'!$B$4:$B$430,0),2)/100</f>
        <v>67.44</v>
      </c>
      <c r="K55" s="38">
        <f t="shared" si="14"/>
        <v>8580.834990059642</v>
      </c>
      <c r="L55" s="30">
        <f t="shared" si="15"/>
        <v>-7419.165009940358</v>
      </c>
      <c r="M55" s="31">
        <f t="shared" si="16"/>
        <v>-0.46369781312127234</v>
      </c>
      <c r="N55" s="31">
        <f t="shared" si="12"/>
        <v>-0.6544754294327066</v>
      </c>
      <c r="O55" s="45"/>
      <c r="P55" s="45"/>
      <c r="Q55" s="45"/>
      <c r="R55" s="45"/>
      <c r="S55" s="45"/>
    </row>
    <row r="56" spans="2:19" ht="15">
      <c r="B56" s="9" t="s">
        <v>32</v>
      </c>
      <c r="C56" s="10" t="s">
        <v>33</v>
      </c>
      <c r="D56" s="15">
        <v>0.03</v>
      </c>
      <c r="E56" s="35" t="str">
        <f>VLOOKUP(C56,'[1]Codes Sectors Stata'!$C$1:$E$303,3,FALSE)</f>
        <v>Indi</v>
      </c>
      <c r="F56" s="36" t="str">
        <f>VLOOKUP(C56,'[1]Codes Sectors Stata'!$C$1:$E$303,2,FALSE)</f>
        <v>C</v>
      </c>
      <c r="G56" s="26">
        <f>D56*G64</f>
        <v>12000</v>
      </c>
      <c r="H56" s="27">
        <v>134.11</v>
      </c>
      <c r="I56" s="37">
        <f t="shared" si="13"/>
        <v>89.47878607113563</v>
      </c>
      <c r="J56" s="27">
        <f>INDEX('[2]Inputs'!$B$4:$F$430,MATCH(C56,'[2]Inputs'!$B$4:$B$430,0),2)/100</f>
        <v>102.99</v>
      </c>
      <c r="K56" s="38">
        <f t="shared" si="14"/>
        <v>9215.420177466258</v>
      </c>
      <c r="L56" s="30">
        <f t="shared" si="15"/>
        <v>-2784.579822533742</v>
      </c>
      <c r="M56" s="31">
        <f t="shared" si="16"/>
        <v>-0.23204831854447852</v>
      </c>
      <c r="N56" s="31">
        <f t="shared" si="12"/>
        <v>-0.362581542433172</v>
      </c>
      <c r="O56" s="46"/>
      <c r="P56" s="46"/>
      <c r="Q56" s="46"/>
      <c r="R56" s="46"/>
      <c r="S56" s="46"/>
    </row>
    <row r="57" spans="2:19" ht="15">
      <c r="B57" s="9" t="s">
        <v>40</v>
      </c>
      <c r="C57" s="10" t="s">
        <v>41</v>
      </c>
      <c r="D57" s="15">
        <v>0.08</v>
      </c>
      <c r="E57" s="35" t="str">
        <f>VLOOKUP(C57,'[1]Codes Sectors Stata'!$C$1:$E$303,3,FALSE)</f>
        <v>Fini</v>
      </c>
      <c r="F57" s="36" t="str">
        <f>VLOOKUP(C57,'[1]Codes Sectors Stata'!$C$1:$E$303,2,FALSE)</f>
        <v>B</v>
      </c>
      <c r="G57" s="26">
        <f>D57*G64</f>
        <v>32000</v>
      </c>
      <c r="H57" s="27">
        <v>49.31</v>
      </c>
      <c r="I57" s="37">
        <f t="shared" si="13"/>
        <v>648.9555871020077</v>
      </c>
      <c r="J57" s="27">
        <f>INDEX('[2]Inputs'!$B$4:$F$430,MATCH(C57,'[2]Inputs'!$B$4:$B$430,0),2)/100</f>
        <v>67.25</v>
      </c>
      <c r="K57" s="38">
        <f t="shared" si="14"/>
        <v>43642.26323261002</v>
      </c>
      <c r="L57" s="30">
        <f t="shared" si="15"/>
        <v>11642.263232610021</v>
      </c>
      <c r="M57" s="31">
        <f t="shared" si="16"/>
        <v>0.3638207260190632</v>
      </c>
      <c r="N57" s="31">
        <f t="shared" si="12"/>
        <v>0.6976299743273777</v>
      </c>
      <c r="O57" s="46"/>
      <c r="P57" s="46"/>
      <c r="Q57" s="46"/>
      <c r="R57" s="46"/>
      <c r="S57" s="46"/>
    </row>
    <row r="58" spans="2:19" ht="15">
      <c r="B58" s="9" t="s">
        <v>8</v>
      </c>
      <c r="C58" s="10" t="s">
        <v>9</v>
      </c>
      <c r="D58" s="15">
        <v>0.04</v>
      </c>
      <c r="E58" s="35" t="str">
        <f>VLOOKUP(C58,'[1]Codes Sectors Stata'!$C$1:$E$303,3,FALSE)</f>
        <v>Indi</v>
      </c>
      <c r="F58" s="36" t="str">
        <f>VLOOKUP(C58,'[1]Codes Sectors Stata'!$C$1:$E$303,2,FALSE)</f>
        <v>B</v>
      </c>
      <c r="G58" s="26">
        <f>D58*G64</f>
        <v>16000</v>
      </c>
      <c r="H58" s="27">
        <v>136</v>
      </c>
      <c r="I58" s="37">
        <f t="shared" si="13"/>
        <v>117.6470588235294</v>
      </c>
      <c r="J58" s="27">
        <f>INDEX('[2]Inputs'!$B$4:$F$430,MATCH(C58,'[2]Inputs'!$B$4:$B$430,0),2)/100</f>
        <v>106.38</v>
      </c>
      <c r="K58" s="38">
        <f t="shared" si="14"/>
        <v>12515.294117647058</v>
      </c>
      <c r="L58" s="30">
        <f t="shared" si="15"/>
        <v>-3484.7058823529424</v>
      </c>
      <c r="M58" s="31">
        <f t="shared" si="16"/>
        <v>-0.2177941176470589</v>
      </c>
      <c r="N58" s="31">
        <f t="shared" si="12"/>
        <v>-0.342270028350921</v>
      </c>
      <c r="O58" s="46"/>
      <c r="P58" s="46"/>
      <c r="Q58" s="46"/>
      <c r="R58" s="46"/>
      <c r="S58" s="46"/>
    </row>
    <row r="59" spans="2:19" ht="15">
      <c r="B59" s="9" t="s">
        <v>10</v>
      </c>
      <c r="C59" s="10" t="s">
        <v>11</v>
      </c>
      <c r="D59" s="15">
        <v>0.14</v>
      </c>
      <c r="E59" s="35" t="str">
        <f>VLOOKUP(C59,'[1]Codes Sectors Stata'!$C$1:$E$303,3,FALSE)</f>
        <v>Indi</v>
      </c>
      <c r="F59" s="36" t="str">
        <f>VLOOKUP(C59,'[1]Codes Sectors Stata'!$C$1:$E$303,2,FALSE)</f>
        <v>A</v>
      </c>
      <c r="G59" s="26">
        <f>D59*G64</f>
        <v>56000.00000000001</v>
      </c>
      <c r="H59" s="27">
        <v>2715.56</v>
      </c>
      <c r="I59" s="37">
        <f t="shared" si="13"/>
        <v>20.621897509169383</v>
      </c>
      <c r="J59" s="27">
        <f>INDEX('[2]Inputs'!$B$4:$F$430,MATCH(C59,'[2]Inputs'!$B$4:$B$430,0),2)/100</f>
        <v>3451</v>
      </c>
      <c r="K59" s="38">
        <f t="shared" si="14"/>
        <v>71166.16830414355</v>
      </c>
      <c r="L59" s="30">
        <f t="shared" si="15"/>
        <v>15166.168304143539</v>
      </c>
      <c r="M59" s="31">
        <f t="shared" si="16"/>
        <v>0.2708244340025632</v>
      </c>
      <c r="N59" s="31">
        <f t="shared" si="12"/>
        <v>0.50497436749037</v>
      </c>
      <c r="O59" s="46"/>
      <c r="P59" s="46"/>
      <c r="Q59" s="46"/>
      <c r="R59" s="46"/>
      <c r="S59" s="46"/>
    </row>
    <row r="60" spans="2:19" ht="15">
      <c r="B60" s="9" t="s">
        <v>93</v>
      </c>
      <c r="C60" s="10" t="s">
        <v>94</v>
      </c>
      <c r="D60" s="15">
        <v>0.08</v>
      </c>
      <c r="E60" s="35" t="str">
        <f>VLOOKUP(C60,'[1]Codes Sectors Stata'!$C$1:$E$303,3,FALSE)</f>
        <v>Fini</v>
      </c>
      <c r="F60" s="36" t="str">
        <f>VLOOKUP(C60,'[1]Codes Sectors Stata'!$C$1:$E$303,2,FALSE)</f>
        <v>B</v>
      </c>
      <c r="G60" s="26">
        <f>D60*G64</f>
        <v>32000</v>
      </c>
      <c r="H60" s="27">
        <v>61.51</v>
      </c>
      <c r="I60" s="37">
        <f t="shared" si="13"/>
        <v>520.2406112827183</v>
      </c>
      <c r="J60" s="27">
        <f>INDEX('[2]Inputs'!$B$4:$F$430,MATCH(C60,'[2]Inputs'!$B$4:$B$430,0),2)/100</f>
        <v>79.17</v>
      </c>
      <c r="K60" s="38">
        <f t="shared" si="14"/>
        <v>41187.44919525281</v>
      </c>
      <c r="L60" s="30">
        <f t="shared" si="15"/>
        <v>9187.449195252811</v>
      </c>
      <c r="M60" s="31">
        <f t="shared" si="16"/>
        <v>0.2871077873516504</v>
      </c>
      <c r="N60" s="31">
        <f t="shared" si="12"/>
        <v>0.538013060943062</v>
      </c>
      <c r="O60" s="46"/>
      <c r="P60" s="46"/>
      <c r="Q60" s="46"/>
      <c r="R60" s="46"/>
      <c r="S60" s="46"/>
    </row>
    <row r="61" spans="2:19" ht="15">
      <c r="B61" s="9" t="s">
        <v>34</v>
      </c>
      <c r="C61" s="10" t="s">
        <v>35</v>
      </c>
      <c r="D61" s="15">
        <v>0.08</v>
      </c>
      <c r="E61" s="35" t="str">
        <f>VLOOKUP(C61,'[1]Codes Sectors Stata'!$C$1:$E$303,3,FALSE)</f>
        <v>Indi</v>
      </c>
      <c r="F61" s="36" t="str">
        <f>VLOOKUP(C61,'[1]Codes Sectors Stata'!$C$1:$E$303,2,FALSE)</f>
        <v>B</v>
      </c>
      <c r="G61" s="26">
        <f>D61*G64</f>
        <v>32000</v>
      </c>
      <c r="H61" s="27">
        <v>209</v>
      </c>
      <c r="I61" s="37">
        <f t="shared" si="13"/>
        <v>153.11004784688996</v>
      </c>
      <c r="J61" s="27">
        <f>INDEX('[2]Inputs'!$B$4:$F$430,MATCH(C61,'[2]Inputs'!$B$4:$B$430,0),2)/100</f>
        <v>221.19</v>
      </c>
      <c r="K61" s="38">
        <f t="shared" si="14"/>
        <v>33866.41148325359</v>
      </c>
      <c r="L61" s="30">
        <f t="shared" si="15"/>
        <v>1866.4114832535925</v>
      </c>
      <c r="M61" s="31">
        <f t="shared" si="16"/>
        <v>0.058325358851674766</v>
      </c>
      <c r="N61" s="31">
        <f t="shared" si="12"/>
        <v>0.10151571091760592</v>
      </c>
      <c r="O61" s="46"/>
      <c r="P61" s="46"/>
      <c r="Q61" s="46"/>
      <c r="R61" s="46"/>
      <c r="S61" s="46"/>
    </row>
    <row r="62" spans="2:19" ht="15">
      <c r="B62" s="9" t="s">
        <v>45</v>
      </c>
      <c r="C62" s="10" t="s">
        <v>46</v>
      </c>
      <c r="D62" s="15">
        <v>0.04</v>
      </c>
      <c r="E62" s="35" t="str">
        <f>VLOOKUP(C62,'[1]Codes Sectors Stata'!$C$1:$E$303,3,FALSE)</f>
        <v>Indi</v>
      </c>
      <c r="F62" s="36" t="str">
        <f>VLOOKUP(C62,'[1]Codes Sectors Stata'!$C$1:$E$303,2,FALSE)</f>
        <v>B</v>
      </c>
      <c r="G62" s="26">
        <f>D62*G64</f>
        <v>16000</v>
      </c>
      <c r="H62" s="27">
        <v>165.26</v>
      </c>
      <c r="I62" s="37">
        <f t="shared" si="13"/>
        <v>96.81713663318408</v>
      </c>
      <c r="J62" s="27">
        <f>INDEX('[2]Inputs'!$B$4:$F$430,MATCH(C62,'[2]Inputs'!$B$4:$B$430,0),2)/100</f>
        <v>145.68</v>
      </c>
      <c r="K62" s="38">
        <f t="shared" si="14"/>
        <v>14104.320464722257</v>
      </c>
      <c r="L62" s="30">
        <f t="shared" si="15"/>
        <v>-1895.6795352777426</v>
      </c>
      <c r="M62" s="31">
        <f t="shared" si="16"/>
        <v>-0.11847997095485892</v>
      </c>
      <c r="N62" s="31">
        <f t="shared" si="12"/>
        <v>-0.19353113732143123</v>
      </c>
      <c r="O62" s="46"/>
      <c r="P62" s="46"/>
      <c r="Q62" s="46"/>
      <c r="R62" s="46"/>
      <c r="S62" s="46"/>
    </row>
    <row r="63" spans="2:19" ht="15">
      <c r="B63" s="9" t="s">
        <v>39</v>
      </c>
      <c r="C63" s="10" t="s">
        <v>20</v>
      </c>
      <c r="D63" s="15">
        <v>0.05</v>
      </c>
      <c r="E63" s="47" t="str">
        <f>VLOOKUP(C63,'[1]Codes Sectors Stata'!$C$1:$E$303,3,FALSE)</f>
        <v>Indi</v>
      </c>
      <c r="F63" s="48" t="str">
        <f>VLOOKUP(C63,'[1]Codes Sectors Stata'!$C$1:$E$303,2,FALSE)</f>
        <v>B</v>
      </c>
      <c r="G63" s="26">
        <f>D63*G64</f>
        <v>20000</v>
      </c>
      <c r="H63" s="27">
        <v>67.4</v>
      </c>
      <c r="I63" s="37">
        <f t="shared" si="13"/>
        <v>296.7359050445104</v>
      </c>
      <c r="J63" s="27">
        <f>INDEX('[2]Inputs'!$B$4:$F$430,MATCH(C63,'[2]Inputs'!$B$4:$B$430,0),2)/100</f>
        <v>65.31</v>
      </c>
      <c r="K63" s="38">
        <f t="shared" si="14"/>
        <v>19379.821958456974</v>
      </c>
      <c r="L63" s="30">
        <f t="shared" si="15"/>
        <v>-620.1780415430258</v>
      </c>
      <c r="M63" s="31">
        <f t="shared" si="16"/>
        <v>-0.031008902077151287</v>
      </c>
      <c r="N63" s="31">
        <f t="shared" si="12"/>
        <v>-0.052308627817396314</v>
      </c>
      <c r="O63" s="46"/>
      <c r="P63" s="46"/>
      <c r="Q63" s="46"/>
      <c r="R63" s="46"/>
      <c r="S63" s="46"/>
    </row>
    <row r="64" spans="2:19" ht="15">
      <c r="B64" s="12"/>
      <c r="C64" s="13"/>
      <c r="D64" s="14">
        <f>SUM(D48:D63)</f>
        <v>1</v>
      </c>
      <c r="E64" s="13"/>
      <c r="F64" s="49"/>
      <c r="G64" s="50">
        <v>400000</v>
      </c>
      <c r="H64" s="12"/>
      <c r="I64" s="51"/>
      <c r="J64" s="12"/>
      <c r="K64" s="52">
        <f>SUM(K48:K63)</f>
        <v>440206.16992994584</v>
      </c>
      <c r="L64" s="53">
        <f>SUM(L48:L63)</f>
        <v>40206.169929945885</v>
      </c>
      <c r="M64" s="54">
        <f>L64/G64</f>
        <v>0.10051542482486471</v>
      </c>
      <c r="N64" s="54">
        <f t="shared" si="12"/>
        <v>0.17746139548081774</v>
      </c>
      <c r="O64" s="46"/>
      <c r="P64" s="46"/>
      <c r="Q64" s="46"/>
      <c r="R64" s="46"/>
      <c r="S64" s="46"/>
    </row>
    <row r="65" spans="5:19" ht="15"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5:19" ht="15"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2:19" ht="15">
      <c r="B67" s="1" t="s">
        <v>99</v>
      </c>
      <c r="C67" s="2" t="s">
        <v>0</v>
      </c>
      <c r="D67" s="2" t="s">
        <v>1</v>
      </c>
      <c r="E67" s="55" t="s">
        <v>60</v>
      </c>
      <c r="F67" s="55" t="s">
        <v>61</v>
      </c>
      <c r="G67" s="55"/>
      <c r="H67" s="56">
        <v>42886</v>
      </c>
      <c r="I67" s="2"/>
      <c r="J67" s="123">
        <f>$AC$4</f>
        <v>43100</v>
      </c>
      <c r="K67" s="124"/>
      <c r="L67" s="124"/>
      <c r="M67" s="57" t="s">
        <v>62</v>
      </c>
      <c r="N67" s="57" t="s">
        <v>63</v>
      </c>
      <c r="O67" s="58" t="s">
        <v>64</v>
      </c>
      <c r="P67" s="58" t="s">
        <v>65</v>
      </c>
      <c r="Q67" s="59" t="s">
        <v>66</v>
      </c>
      <c r="R67" s="59" t="s">
        <v>67</v>
      </c>
      <c r="S67" s="60" t="s">
        <v>55</v>
      </c>
    </row>
    <row r="68" spans="2:19" ht="15">
      <c r="B68" s="3" t="s">
        <v>2</v>
      </c>
      <c r="C68" s="4" t="s">
        <v>3</v>
      </c>
      <c r="D68" s="5" t="s">
        <v>4</v>
      </c>
      <c r="E68" s="16" t="s">
        <v>49</v>
      </c>
      <c r="F68" s="5" t="s">
        <v>50</v>
      </c>
      <c r="G68" s="16" t="s">
        <v>51</v>
      </c>
      <c r="H68" s="16" t="s">
        <v>52</v>
      </c>
      <c r="I68" s="16" t="s">
        <v>53</v>
      </c>
      <c r="J68" s="17" t="s">
        <v>52</v>
      </c>
      <c r="K68" s="17" t="s">
        <v>54</v>
      </c>
      <c r="L68" s="18" t="s">
        <v>55</v>
      </c>
      <c r="M68" s="16" t="s">
        <v>55</v>
      </c>
      <c r="N68" s="16" t="s">
        <v>55</v>
      </c>
      <c r="O68" s="19" t="s">
        <v>56</v>
      </c>
      <c r="P68" s="20">
        <v>0.53</v>
      </c>
      <c r="Q68" s="21">
        <f>$AD$7</f>
        <v>0.16249199231262001</v>
      </c>
      <c r="R68" s="22">
        <f>SUMIF(E69:E84,O68,G69:G84)/G85</f>
        <v>0.75</v>
      </c>
      <c r="S68" s="23">
        <f>SUMIF(E69:E84,O68,L69:L84)/SUMIF(E69:E84,O68,G69:G84)</f>
        <v>0.036421463214897414</v>
      </c>
    </row>
    <row r="69" spans="2:19" ht="15">
      <c r="B69" s="6" t="s">
        <v>24</v>
      </c>
      <c r="C69" s="7" t="s">
        <v>24</v>
      </c>
      <c r="D69" s="8">
        <v>0.04</v>
      </c>
      <c r="E69" s="24" t="str">
        <f>VLOOKUP(C69,'[1]Codes Sectors Stata'!$C$1:$E$303,3,FALSE)</f>
        <v>Indi</v>
      </c>
      <c r="F69" s="25" t="str">
        <f>VLOOKUP(C69,'[1]Codes Sectors Stata'!$C$1:$E$303,2,FALSE)</f>
        <v>C</v>
      </c>
      <c r="G69" s="26">
        <f>D69*G85</f>
        <v>16000</v>
      </c>
      <c r="H69" s="27">
        <v>98.66</v>
      </c>
      <c r="I69" s="28">
        <f>G69/H69</f>
        <v>162.17311980539228</v>
      </c>
      <c r="J69" s="27">
        <f>INDEX('[2]Inputs'!$B$4:$F$430,MATCH(C69,'[2]Inputs'!$B$4:$B$430,0),2)/100</f>
        <v>110.56</v>
      </c>
      <c r="K69" s="29">
        <f>I69*J69</f>
        <v>17929.860125684172</v>
      </c>
      <c r="L69" s="30">
        <f>K69-G69</f>
        <v>1929.860125684172</v>
      </c>
      <c r="M69" s="31">
        <f>L69/G69</f>
        <v>0.12061625785526076</v>
      </c>
      <c r="N69" s="31">
        <f aca="true" t="shared" si="17" ref="N69:N85">(1+M69)^(365/$AC$3)-1</f>
        <v>0.2143785587596263</v>
      </c>
      <c r="O69" s="32" t="s">
        <v>57</v>
      </c>
      <c r="P69" s="33">
        <v>0.25</v>
      </c>
      <c r="Q69" s="21">
        <f>$AD$8</f>
        <v>0.11093478707316629</v>
      </c>
      <c r="R69" s="22">
        <f>SUMIF(E69:E84,O69,G69:G84)/G85</f>
        <v>0.17</v>
      </c>
      <c r="S69" s="34">
        <f>SUMIF(E69:E84,O69,L69:L84)/SUMIF(E69:E84,O69,G69:G84)</f>
        <v>0.22314328955266832</v>
      </c>
    </row>
    <row r="70" spans="2:19" ht="15">
      <c r="B70" s="9" t="s">
        <v>25</v>
      </c>
      <c r="C70" s="10" t="s">
        <v>5</v>
      </c>
      <c r="D70" s="15">
        <v>0.06</v>
      </c>
      <c r="E70" s="35" t="str">
        <f>VLOOKUP(C70,'[1]Codes Sectors Stata'!$C$1:$E$303,3,FALSE)</f>
        <v>Indi</v>
      </c>
      <c r="F70" s="36" t="str">
        <f>VLOOKUP(C70,'[1]Codes Sectors Stata'!$C$1:$E$303,2,FALSE)</f>
        <v>A</v>
      </c>
      <c r="G70" s="26">
        <f>D70*G85</f>
        <v>24000</v>
      </c>
      <c r="H70" s="27">
        <v>944.13</v>
      </c>
      <c r="I70" s="37">
        <f aca="true" t="shared" si="18" ref="I70:I84">G70/H70</f>
        <v>25.420228146547615</v>
      </c>
      <c r="J70" s="27">
        <f>INDEX('[2]Inputs'!$B$4:$F$430,MATCH(C70,'[2]Inputs'!$B$4:$B$430,0),2)/100</f>
        <v>829.5</v>
      </c>
      <c r="K70" s="38">
        <f aca="true" t="shared" si="19" ref="K70:K84">I70*J70</f>
        <v>21086.079247561247</v>
      </c>
      <c r="L70" s="30">
        <f aca="true" t="shared" si="20" ref="L70:L84">K70-G70</f>
        <v>-2913.920752438753</v>
      </c>
      <c r="M70" s="31">
        <f aca="true" t="shared" si="21" ref="M70:M84">L70/G70</f>
        <v>-0.12141336468494804</v>
      </c>
      <c r="N70" s="31">
        <f t="shared" si="17"/>
        <v>-0.19810301432733268</v>
      </c>
      <c r="O70" s="32" t="s">
        <v>58</v>
      </c>
      <c r="P70" s="39">
        <v>0.22</v>
      </c>
      <c r="Q70" s="21">
        <f>$AD$9</f>
        <v>0</v>
      </c>
      <c r="R70" s="22">
        <f>SUMIF(E69:E84,O70,G69:G84)/G85</f>
        <v>0.08</v>
      </c>
      <c r="S70" s="40">
        <f>SUMIF(E69:E84,O70,L69:L84)/SUMIF(E69:E84,O70,G69:G84)</f>
        <v>-0.07447590614543509</v>
      </c>
    </row>
    <row r="71" spans="2:19" ht="15">
      <c r="B71" s="9" t="s">
        <v>6</v>
      </c>
      <c r="C71" s="10" t="s">
        <v>7</v>
      </c>
      <c r="D71" s="15">
        <v>0.12</v>
      </c>
      <c r="E71" s="35" t="str">
        <f>VLOOKUP(C71,'[1]Codes Sectors Stata'!$C$1:$E$303,3,FALSE)</f>
        <v>Indi</v>
      </c>
      <c r="F71" s="36" t="str">
        <f>VLOOKUP(C71,'[1]Codes Sectors Stata'!$C$1:$E$303,2,FALSE)</f>
        <v>B</v>
      </c>
      <c r="G71" s="26">
        <f>D71*G85</f>
        <v>48000</v>
      </c>
      <c r="H71" s="27">
        <v>299.66</v>
      </c>
      <c r="I71" s="37">
        <f t="shared" si="18"/>
        <v>160.1815390776213</v>
      </c>
      <c r="J71" s="27">
        <f>INDEX('[2]Inputs'!$B$4:$F$430,MATCH(C71,'[2]Inputs'!$B$4:$B$430,0),2)/100</f>
        <v>300.99</v>
      </c>
      <c r="K71" s="38">
        <f t="shared" si="19"/>
        <v>48213.041446973235</v>
      </c>
      <c r="L71" s="30">
        <f t="shared" si="20"/>
        <v>213.041446973235</v>
      </c>
      <c r="M71" s="31">
        <f t="shared" si="21"/>
        <v>0.004438363478609063</v>
      </c>
      <c r="N71" s="31">
        <f t="shared" si="17"/>
        <v>0.0075819545887969575</v>
      </c>
      <c r="O71" s="41" t="s">
        <v>59</v>
      </c>
      <c r="P71" s="39">
        <v>1</v>
      </c>
      <c r="Q71" s="42">
        <f>$AD$10</f>
        <v>0</v>
      </c>
      <c r="R71" s="43">
        <f>R68+R69+R70</f>
        <v>1</v>
      </c>
      <c r="S71" s="44">
        <f>L85/G85</f>
        <v>0.059292384143491875</v>
      </c>
    </row>
    <row r="72" spans="2:19" ht="15">
      <c r="B72" s="9" t="s">
        <v>96</v>
      </c>
      <c r="C72" s="10" t="s">
        <v>23</v>
      </c>
      <c r="D72" s="15">
        <v>0.05</v>
      </c>
      <c r="E72" s="35" t="str">
        <f>VLOOKUP(C72,'[1]Codes Sectors Stata'!$C$1:$E$303,3,FALSE)</f>
        <v>Indi</v>
      </c>
      <c r="F72" s="36" t="str">
        <f>VLOOKUP(C72,'[1]Codes Sectors Stata'!$C$1:$E$303,2,FALSE)</f>
        <v>A</v>
      </c>
      <c r="G72" s="26">
        <f>D72*G85</f>
        <v>20000</v>
      </c>
      <c r="H72" s="27">
        <v>110.61</v>
      </c>
      <c r="I72" s="37">
        <f t="shared" si="18"/>
        <v>180.8154778049001</v>
      </c>
      <c r="J72" s="27">
        <f>INDEX('[2]Inputs'!$B$4:$F$430,MATCH(C72,'[2]Inputs'!$B$4:$B$430,0),2)/100</f>
        <v>111.75</v>
      </c>
      <c r="K72" s="38">
        <f t="shared" si="19"/>
        <v>20206.129644697587</v>
      </c>
      <c r="L72" s="30">
        <f t="shared" si="20"/>
        <v>206.12964469758663</v>
      </c>
      <c r="M72" s="31">
        <f t="shared" si="21"/>
        <v>0.010306482234879332</v>
      </c>
      <c r="N72" s="31">
        <f t="shared" si="17"/>
        <v>0.017642668198353473</v>
      </c>
      <c r="O72" s="45"/>
      <c r="P72" s="45"/>
      <c r="Q72" s="45"/>
      <c r="R72" s="45"/>
      <c r="S72" s="45"/>
    </row>
    <row r="73" spans="2:19" ht="15">
      <c r="B73" s="9" t="s">
        <v>26</v>
      </c>
      <c r="C73" s="10" t="s">
        <v>27</v>
      </c>
      <c r="D73" s="15">
        <v>0.04</v>
      </c>
      <c r="E73" s="35" t="str">
        <f>VLOOKUP(C73,'[1]Codes Sectors Stata'!$C$1:$E$303,3,FALSE)</f>
        <v>Indi</v>
      </c>
      <c r="F73" s="36" t="str">
        <f>VLOOKUP(C73,'[1]Codes Sectors Stata'!$C$1:$E$303,2,FALSE)</f>
        <v>B</v>
      </c>
      <c r="G73" s="26">
        <f>D73*G85</f>
        <v>16000</v>
      </c>
      <c r="H73" s="27">
        <v>136.22</v>
      </c>
      <c r="I73" s="37">
        <f t="shared" si="18"/>
        <v>117.45705476435178</v>
      </c>
      <c r="J73" s="27">
        <f>INDEX('[2]Inputs'!$B$4:$F$430,MATCH(C73,'[2]Inputs'!$B$4:$B$430,0),2)/100</f>
        <v>181.13</v>
      </c>
      <c r="K73" s="38">
        <f t="shared" si="19"/>
        <v>21274.996329467038</v>
      </c>
      <c r="L73" s="30">
        <f t="shared" si="20"/>
        <v>5274.996329467038</v>
      </c>
      <c r="M73" s="31">
        <f t="shared" si="21"/>
        <v>0.32968727059168984</v>
      </c>
      <c r="N73" s="31">
        <f t="shared" si="17"/>
        <v>0.625803639735423</v>
      </c>
      <c r="O73" s="45"/>
      <c r="P73" s="45"/>
      <c r="Q73" s="45"/>
      <c r="R73" s="45"/>
      <c r="S73" s="45"/>
    </row>
    <row r="74" spans="2:19" ht="15">
      <c r="B74" s="9" t="s">
        <v>30</v>
      </c>
      <c r="C74" s="10" t="s">
        <v>19</v>
      </c>
      <c r="D74" s="15">
        <v>0.06</v>
      </c>
      <c r="E74" s="35" t="str">
        <f>VLOOKUP(C74,'[1]Codes Sectors Stata'!$C$1:$E$303,3,FALSE)</f>
        <v>Fini</v>
      </c>
      <c r="F74" s="36" t="str">
        <f>VLOOKUP(C74,'[1]Codes Sectors Stata'!$C$1:$E$303,2,FALSE)</f>
        <v>B</v>
      </c>
      <c r="G74" s="26">
        <f>D74*G85</f>
        <v>24000</v>
      </c>
      <c r="H74" s="27">
        <v>128.12</v>
      </c>
      <c r="I74" s="37">
        <f t="shared" si="18"/>
        <v>187.32438339057134</v>
      </c>
      <c r="J74" s="27">
        <f>INDEX('[2]Inputs'!$B$4:$F$430,MATCH(C74,'[2]Inputs'!$B$4:$B$430,0),2)/100</f>
        <v>186</v>
      </c>
      <c r="K74" s="38">
        <f t="shared" si="19"/>
        <v>34842.33531064627</v>
      </c>
      <c r="L74" s="30">
        <f t="shared" si="20"/>
        <v>10842.335310646267</v>
      </c>
      <c r="M74" s="31">
        <f t="shared" si="21"/>
        <v>0.4517639712769278</v>
      </c>
      <c r="N74" s="31">
        <f t="shared" si="17"/>
        <v>0.8885611535888489</v>
      </c>
      <c r="O74" s="45"/>
      <c r="P74" s="45"/>
      <c r="Q74" s="45"/>
      <c r="R74" s="45"/>
      <c r="S74" s="45"/>
    </row>
    <row r="75" spans="2:19" ht="15">
      <c r="B75" s="9" t="s">
        <v>31</v>
      </c>
      <c r="C75" s="10" t="s">
        <v>31</v>
      </c>
      <c r="D75" s="15">
        <v>0.1</v>
      </c>
      <c r="E75" s="35" t="str">
        <f>VLOOKUP(C75,'[1]Codes Sectors Stata'!$C$1:$E$303,3,FALSE)</f>
        <v>Indi</v>
      </c>
      <c r="F75" s="36" t="str">
        <f>VLOOKUP(C75,'[1]Codes Sectors Stata'!$C$1:$E$303,2,FALSE)</f>
        <v>C</v>
      </c>
      <c r="G75" s="26">
        <f>D75*G85</f>
        <v>40000</v>
      </c>
      <c r="H75" s="27">
        <v>125.75</v>
      </c>
      <c r="I75" s="37">
        <f t="shared" si="18"/>
        <v>318.0914512922465</v>
      </c>
      <c r="J75" s="27">
        <f>INDEX('[2]Inputs'!$B$4:$F$430,MATCH(C75,'[2]Inputs'!$B$4:$B$430,0),2)/100</f>
        <v>67.44</v>
      </c>
      <c r="K75" s="38">
        <f t="shared" si="19"/>
        <v>21452.087475149103</v>
      </c>
      <c r="L75" s="30">
        <f t="shared" si="20"/>
        <v>-18547.912524850897</v>
      </c>
      <c r="M75" s="31">
        <f t="shared" si="21"/>
        <v>-0.46369781312127245</v>
      </c>
      <c r="N75" s="31">
        <f t="shared" si="17"/>
        <v>-0.6544754294327069</v>
      </c>
      <c r="O75" s="45"/>
      <c r="P75" s="45"/>
      <c r="Q75" s="45"/>
      <c r="R75" s="45"/>
      <c r="S75" s="45"/>
    </row>
    <row r="76" spans="2:19" ht="15">
      <c r="B76" s="11" t="s">
        <v>18</v>
      </c>
      <c r="C76" s="10" t="s">
        <v>18</v>
      </c>
      <c r="D76" s="15">
        <v>0.02</v>
      </c>
      <c r="E76" s="35" t="str">
        <f>VLOOKUP(C76,'[1]Codes Sectors Stata'!$C$1:$E$303,3,FALSE)</f>
        <v>Fini</v>
      </c>
      <c r="F76" s="36" t="str">
        <f>VLOOKUP(C76,'[1]Codes Sectors Stata'!$C$1:$E$303,2,FALSE)</f>
        <v>C</v>
      </c>
      <c r="G76" s="26">
        <f>D76*G85</f>
        <v>8000</v>
      </c>
      <c r="H76" s="27">
        <v>132.19</v>
      </c>
      <c r="I76" s="37">
        <f t="shared" si="18"/>
        <v>60.518949996217565</v>
      </c>
      <c r="J76" s="27">
        <f>INDEX('[2]Inputs'!$B$4:$F$430,MATCH(C76,'[2]Inputs'!$B$4:$B$430,0),2)/100</f>
        <v>153.84</v>
      </c>
      <c r="K76" s="38">
        <f t="shared" si="19"/>
        <v>9310.235267418111</v>
      </c>
      <c r="L76" s="30">
        <f t="shared" si="20"/>
        <v>1310.235267418111</v>
      </c>
      <c r="M76" s="31">
        <f t="shared" si="21"/>
        <v>0.16377940842726388</v>
      </c>
      <c r="N76" s="31">
        <f t="shared" si="17"/>
        <v>0.295237783974011</v>
      </c>
      <c r="O76" s="45"/>
      <c r="P76" s="45"/>
      <c r="Q76" s="45"/>
      <c r="R76" s="45"/>
      <c r="S76" s="45"/>
    </row>
    <row r="77" spans="2:19" ht="15">
      <c r="B77" s="9" t="s">
        <v>8</v>
      </c>
      <c r="C77" s="10" t="s">
        <v>9</v>
      </c>
      <c r="D77" s="15">
        <v>0.04</v>
      </c>
      <c r="E77" s="35" t="str">
        <f>VLOOKUP(C77,'[1]Codes Sectors Stata'!$C$1:$E$303,3,FALSE)</f>
        <v>Indi</v>
      </c>
      <c r="F77" s="36" t="str">
        <f>VLOOKUP(C77,'[1]Codes Sectors Stata'!$C$1:$E$303,2,FALSE)</f>
        <v>B</v>
      </c>
      <c r="G77" s="26">
        <f>D77*G85</f>
        <v>16000</v>
      </c>
      <c r="H77" s="27">
        <v>136</v>
      </c>
      <c r="I77" s="37">
        <f t="shared" si="18"/>
        <v>117.6470588235294</v>
      </c>
      <c r="J77" s="27">
        <f>INDEX('[2]Inputs'!$B$4:$F$430,MATCH(C77,'[2]Inputs'!$B$4:$B$430,0),2)/100</f>
        <v>106.38</v>
      </c>
      <c r="K77" s="38">
        <f t="shared" si="19"/>
        <v>12515.294117647058</v>
      </c>
      <c r="L77" s="30">
        <f t="shared" si="20"/>
        <v>-3484.7058823529424</v>
      </c>
      <c r="M77" s="31">
        <f t="shared" si="21"/>
        <v>-0.2177941176470589</v>
      </c>
      <c r="N77" s="31">
        <f t="shared" si="17"/>
        <v>-0.342270028350921</v>
      </c>
      <c r="O77" s="46"/>
      <c r="P77" s="46"/>
      <c r="Q77" s="46"/>
      <c r="R77" s="46"/>
      <c r="S77" s="46"/>
    </row>
    <row r="78" spans="2:19" ht="15">
      <c r="B78" s="9" t="s">
        <v>100</v>
      </c>
      <c r="C78" s="10" t="s">
        <v>43</v>
      </c>
      <c r="D78" s="15">
        <v>0.04</v>
      </c>
      <c r="E78" s="35" t="str">
        <f>VLOOKUP(C78,'[1]Codes Sectors Stata'!$C$1:$E$303,3,FALSE)</f>
        <v>Resi</v>
      </c>
      <c r="F78" s="36" t="str">
        <f>VLOOKUP(C78,'[1]Codes Sectors Stata'!$C$1:$E$303,2,FALSE)</f>
        <v>B</v>
      </c>
      <c r="G78" s="26">
        <f>D78*G85</f>
        <v>16000</v>
      </c>
      <c r="H78" s="27">
        <v>345.29</v>
      </c>
      <c r="I78" s="37">
        <f t="shared" si="18"/>
        <v>46.337860928494884</v>
      </c>
      <c r="J78" s="27">
        <f>INDEX('[2]Inputs'!$B$4:$F$430,MATCH(C78,'[2]Inputs'!$B$4:$B$430,0),2)/100</f>
        <v>319.27</v>
      </c>
      <c r="K78" s="38">
        <f t="shared" si="19"/>
        <v>14794.28885864056</v>
      </c>
      <c r="L78" s="30">
        <f t="shared" si="20"/>
        <v>-1205.7111413594394</v>
      </c>
      <c r="M78" s="31">
        <f t="shared" si="21"/>
        <v>-0.07535694633496495</v>
      </c>
      <c r="N78" s="31">
        <f t="shared" si="17"/>
        <v>-0.12508635452635208</v>
      </c>
      <c r="O78" s="46"/>
      <c r="P78" s="46"/>
      <c r="Q78" s="46"/>
      <c r="R78" s="46"/>
      <c r="S78" s="46"/>
    </row>
    <row r="79" spans="2:19" ht="15">
      <c r="B79" s="9" t="s">
        <v>10</v>
      </c>
      <c r="C79" s="10" t="s">
        <v>11</v>
      </c>
      <c r="D79" s="15">
        <v>0.25</v>
      </c>
      <c r="E79" s="35" t="str">
        <f>VLOOKUP(C79,'[1]Codes Sectors Stata'!$C$1:$E$303,3,FALSE)</f>
        <v>Indi</v>
      </c>
      <c r="F79" s="36" t="str">
        <f>VLOOKUP(C79,'[1]Codes Sectors Stata'!$C$1:$E$303,2,FALSE)</f>
        <v>A</v>
      </c>
      <c r="G79" s="26">
        <f>D79*G85</f>
        <v>100000</v>
      </c>
      <c r="H79" s="27">
        <v>2715.56</v>
      </c>
      <c r="I79" s="37">
        <f t="shared" si="18"/>
        <v>36.824816980659605</v>
      </c>
      <c r="J79" s="27">
        <f>INDEX('[2]Inputs'!$B$4:$F$430,MATCH(C79,'[2]Inputs'!$B$4:$B$430,0),2)/100</f>
        <v>3451</v>
      </c>
      <c r="K79" s="38">
        <f t="shared" si="19"/>
        <v>127082.44340025629</v>
      </c>
      <c r="L79" s="30">
        <f t="shared" si="20"/>
        <v>27082.443400256292</v>
      </c>
      <c r="M79" s="31">
        <f t="shared" si="21"/>
        <v>0.2708244340025629</v>
      </c>
      <c r="N79" s="31">
        <f t="shared" si="17"/>
        <v>0.5049743674903695</v>
      </c>
      <c r="O79" s="46"/>
      <c r="P79" s="46"/>
      <c r="Q79" s="46"/>
      <c r="R79" s="46"/>
      <c r="S79" s="46"/>
    </row>
    <row r="80" spans="2:19" ht="15">
      <c r="B80" s="9" t="s">
        <v>101</v>
      </c>
      <c r="C80" s="10" t="s">
        <v>124</v>
      </c>
      <c r="D80" s="15">
        <v>0.04</v>
      </c>
      <c r="E80" s="35" t="str">
        <f>VLOOKUP(C80,'[1]Codes Sectors Stata'!$C$1:$E$303,3,FALSE)</f>
        <v>Fini</v>
      </c>
      <c r="F80" s="36" t="str">
        <f>VLOOKUP(C80,'[1]Codes Sectors Stata'!$C$1:$E$303,2,FALSE)</f>
        <v>B</v>
      </c>
      <c r="G80" s="26">
        <f>D80*G85</f>
        <v>16000</v>
      </c>
      <c r="H80" s="27">
        <v>31.65</v>
      </c>
      <c r="I80" s="37">
        <f>G80/H80/10</f>
        <v>50.552922590837284</v>
      </c>
      <c r="J80" s="27">
        <f>INDEX('[2]Inputs'!$B$4:$F$430,MATCH(C80,'[2]Inputs'!$B$4:$B$430,0),2)/100</f>
        <v>274</v>
      </c>
      <c r="K80" s="38">
        <f t="shared" si="19"/>
        <v>13851.500789889416</v>
      </c>
      <c r="L80" s="30">
        <f t="shared" si="20"/>
        <v>-2148.4992101105836</v>
      </c>
      <c r="M80" s="31">
        <f t="shared" si="21"/>
        <v>-0.13428120063191148</v>
      </c>
      <c r="N80" s="31">
        <f t="shared" si="17"/>
        <v>-0.21803109345992655</v>
      </c>
      <c r="O80" s="46"/>
      <c r="P80" s="46"/>
      <c r="Q80" s="46"/>
      <c r="R80" s="46"/>
      <c r="S80" s="46"/>
    </row>
    <row r="81" spans="2:19" ht="15">
      <c r="B81" s="9" t="s">
        <v>102</v>
      </c>
      <c r="C81" s="10" t="s">
        <v>44</v>
      </c>
      <c r="D81" s="15">
        <v>0.03</v>
      </c>
      <c r="E81" s="35" t="str">
        <f>VLOOKUP(C81,'[1]Codes Sectors Stata'!$C$1:$E$303,3,FALSE)</f>
        <v>Fini</v>
      </c>
      <c r="F81" s="36" t="str">
        <f>VLOOKUP(C81,'[1]Codes Sectors Stata'!$C$1:$E$303,2,FALSE)</f>
        <v>C</v>
      </c>
      <c r="G81" s="26">
        <f>D81*G85</f>
        <v>12000</v>
      </c>
      <c r="H81" s="27">
        <v>120.7</v>
      </c>
      <c r="I81" s="37">
        <f t="shared" si="18"/>
        <v>99.42004971002486</v>
      </c>
      <c r="J81" s="27">
        <f>INDEX('[2]Inputs'!$B$4:$F$430,MATCH(C81,'[2]Inputs'!$B$4:$B$430,0),2)/100</f>
        <v>151.16</v>
      </c>
      <c r="K81" s="38">
        <f t="shared" si="19"/>
        <v>15028.334714167357</v>
      </c>
      <c r="L81" s="30">
        <f t="shared" si="20"/>
        <v>3028.3347141673567</v>
      </c>
      <c r="M81" s="31">
        <f t="shared" si="21"/>
        <v>0.2523612261806131</v>
      </c>
      <c r="N81" s="31">
        <f t="shared" si="17"/>
        <v>0.46787258331339143</v>
      </c>
      <c r="O81" s="46"/>
      <c r="P81" s="46"/>
      <c r="Q81" s="46"/>
      <c r="R81" s="46"/>
      <c r="S81" s="46"/>
    </row>
    <row r="82" spans="2:19" ht="15">
      <c r="B82" s="9" t="s">
        <v>103</v>
      </c>
      <c r="C82" s="10" t="s">
        <v>104</v>
      </c>
      <c r="D82" s="15">
        <v>0.04</v>
      </c>
      <c r="E82" s="35" t="str">
        <f>VLOOKUP(C82,'[1]Codes Sectors Stata'!$C$1:$E$303,3,FALSE)</f>
        <v>Resi</v>
      </c>
      <c r="F82" s="36" t="str">
        <f>VLOOKUP(C82,'[1]Codes Sectors Stata'!$C$1:$E$303,2,FALSE)</f>
        <v>C</v>
      </c>
      <c r="G82" s="26">
        <f>D82*G85</f>
        <v>16000</v>
      </c>
      <c r="H82" s="27">
        <v>96.61</v>
      </c>
      <c r="I82" s="37">
        <f t="shared" si="18"/>
        <v>165.6143256391678</v>
      </c>
      <c r="J82" s="27">
        <f>INDEX('[2]Inputs'!$B$4:$F$430,MATCH(C82,'[2]Inputs'!$B$4:$B$430,0),2)/100</f>
        <v>89.5</v>
      </c>
      <c r="K82" s="38">
        <f t="shared" si="19"/>
        <v>14822.482144705516</v>
      </c>
      <c r="L82" s="30">
        <f t="shared" si="20"/>
        <v>-1177.5178552944835</v>
      </c>
      <c r="M82" s="31">
        <f t="shared" si="21"/>
        <v>-0.07359486595590523</v>
      </c>
      <c r="N82" s="31">
        <f t="shared" si="17"/>
        <v>-0.12224066363922836</v>
      </c>
      <c r="O82" s="46"/>
      <c r="P82" s="46"/>
      <c r="Q82" s="46"/>
      <c r="R82" s="46"/>
      <c r="S82" s="46"/>
    </row>
    <row r="83" spans="2:19" ht="15">
      <c r="B83" s="9" t="s">
        <v>34</v>
      </c>
      <c r="C83" s="10" t="s">
        <v>35</v>
      </c>
      <c r="D83" s="15">
        <v>0.05</v>
      </c>
      <c r="E83" s="35" t="str">
        <f>VLOOKUP(C83,'[1]Codes Sectors Stata'!$C$1:$E$303,3,FALSE)</f>
        <v>Indi</v>
      </c>
      <c r="F83" s="36" t="str">
        <f>VLOOKUP(C83,'[1]Codes Sectors Stata'!$C$1:$E$303,2,FALSE)</f>
        <v>B</v>
      </c>
      <c r="G83" s="26">
        <f>D83*G85</f>
        <v>20000</v>
      </c>
      <c r="H83" s="27">
        <v>209</v>
      </c>
      <c r="I83" s="37">
        <f t="shared" si="18"/>
        <v>95.69377990430623</v>
      </c>
      <c r="J83" s="27">
        <f>INDEX('[2]Inputs'!$B$4:$F$430,MATCH(C83,'[2]Inputs'!$B$4:$B$430,0),2)/100</f>
        <v>221.19</v>
      </c>
      <c r="K83" s="38">
        <f t="shared" si="19"/>
        <v>21166.507177033494</v>
      </c>
      <c r="L83" s="30">
        <f t="shared" si="20"/>
        <v>1166.5071770334944</v>
      </c>
      <c r="M83" s="31">
        <f t="shared" si="21"/>
        <v>0.05832535885167472</v>
      </c>
      <c r="N83" s="31">
        <f t="shared" si="17"/>
        <v>0.10151571091760592</v>
      </c>
      <c r="O83" s="46"/>
      <c r="P83" s="46"/>
      <c r="Q83" s="46"/>
      <c r="R83" s="46"/>
      <c r="S83" s="46"/>
    </row>
    <row r="84" spans="2:19" ht="15">
      <c r="B84" s="9" t="s">
        <v>36</v>
      </c>
      <c r="C84" s="10" t="s">
        <v>37</v>
      </c>
      <c r="D84" s="15">
        <v>0.02</v>
      </c>
      <c r="E84" s="47" t="str">
        <f>VLOOKUP(C84,'[1]Codes Sectors Stata'!$C$1:$E$303,3,FALSE)</f>
        <v>Fini</v>
      </c>
      <c r="F84" s="48" t="str">
        <f>VLOOKUP(C84,'[1]Codes Sectors Stata'!$C$1:$E$303,2,FALSE)</f>
        <v>B</v>
      </c>
      <c r="G84" s="26">
        <f>D84*G85</f>
        <v>8000</v>
      </c>
      <c r="H84" s="27">
        <v>68.63</v>
      </c>
      <c r="I84" s="37">
        <f t="shared" si="18"/>
        <v>116.56709893632522</v>
      </c>
      <c r="J84" s="27">
        <f>INDEX('[2]Inputs'!$B$4:$F$430,MATCH(C84,'[2]Inputs'!$B$4:$B$430,0),2)/100</f>
        <v>87</v>
      </c>
      <c r="K84" s="38">
        <f t="shared" si="19"/>
        <v>10141.337607460295</v>
      </c>
      <c r="L84" s="30">
        <f t="shared" si="20"/>
        <v>2141.3376074602947</v>
      </c>
      <c r="M84" s="31">
        <f t="shared" si="21"/>
        <v>0.2676672009325368</v>
      </c>
      <c r="N84" s="31">
        <f t="shared" si="17"/>
        <v>0.49860276959769156</v>
      </c>
      <c r="O84" s="46"/>
      <c r="P84" s="46"/>
      <c r="Q84" s="46"/>
      <c r="R84" s="46"/>
      <c r="S84" s="46"/>
    </row>
    <row r="85" spans="2:19" ht="15">
      <c r="B85" s="12"/>
      <c r="C85" s="13"/>
      <c r="D85" s="14">
        <f>SUM(D69:D84)</f>
        <v>1.0000000000000002</v>
      </c>
      <c r="E85" s="13"/>
      <c r="F85" s="49"/>
      <c r="G85" s="50">
        <v>400000</v>
      </c>
      <c r="H85" s="12"/>
      <c r="I85" s="51"/>
      <c r="J85" s="12"/>
      <c r="K85" s="52">
        <f>SUM(K69:K84)</f>
        <v>423716.9536573968</v>
      </c>
      <c r="L85" s="53">
        <f>SUM(L69:L84)</f>
        <v>23716.95365739675</v>
      </c>
      <c r="M85" s="54">
        <f>L85/G85</f>
        <v>0.059292384143491875</v>
      </c>
      <c r="N85" s="54">
        <f t="shared" si="17"/>
        <v>0.10323294059276877</v>
      </c>
      <c r="O85" s="46"/>
      <c r="P85" s="46"/>
      <c r="Q85" s="46"/>
      <c r="R85" s="46"/>
      <c r="S85" s="46"/>
    </row>
    <row r="86" spans="5:19" ht="15"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5:19" ht="15"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2:19" ht="15">
      <c r="B88" s="1" t="s">
        <v>105</v>
      </c>
      <c r="C88" s="2" t="s">
        <v>0</v>
      </c>
      <c r="D88" s="2" t="s">
        <v>1</v>
      </c>
      <c r="E88" s="55" t="s">
        <v>60</v>
      </c>
      <c r="F88" s="55" t="s">
        <v>61</v>
      </c>
      <c r="G88" s="55"/>
      <c r="H88" s="56">
        <v>42886</v>
      </c>
      <c r="I88" s="2"/>
      <c r="J88" s="123">
        <f>$AC$4</f>
        <v>43100</v>
      </c>
      <c r="K88" s="124"/>
      <c r="L88" s="124"/>
      <c r="M88" s="57" t="s">
        <v>62</v>
      </c>
      <c r="N88" s="57" t="s">
        <v>63</v>
      </c>
      <c r="O88" s="58" t="s">
        <v>64</v>
      </c>
      <c r="P88" s="58" t="s">
        <v>65</v>
      </c>
      <c r="Q88" s="59" t="s">
        <v>66</v>
      </c>
      <c r="R88" s="59" t="s">
        <v>67</v>
      </c>
      <c r="S88" s="60" t="s">
        <v>55</v>
      </c>
    </row>
    <row r="89" spans="2:19" ht="15">
      <c r="B89" s="3" t="s">
        <v>2</v>
      </c>
      <c r="C89" s="4" t="s">
        <v>3</v>
      </c>
      <c r="D89" s="5" t="s">
        <v>4</v>
      </c>
      <c r="E89" s="16" t="s">
        <v>49</v>
      </c>
      <c r="F89" s="5" t="s">
        <v>50</v>
      </c>
      <c r="G89" s="16" t="s">
        <v>51</v>
      </c>
      <c r="H89" s="16" t="s">
        <v>52</v>
      </c>
      <c r="I89" s="16" t="s">
        <v>53</v>
      </c>
      <c r="J89" s="17" t="s">
        <v>52</v>
      </c>
      <c r="K89" s="17" t="s">
        <v>54</v>
      </c>
      <c r="L89" s="18" t="s">
        <v>55</v>
      </c>
      <c r="M89" s="16" t="s">
        <v>55</v>
      </c>
      <c r="N89" s="16" t="s">
        <v>55</v>
      </c>
      <c r="O89" s="19" t="s">
        <v>56</v>
      </c>
      <c r="P89" s="20">
        <v>0.53</v>
      </c>
      <c r="Q89" s="21">
        <f>$AD$7</f>
        <v>0.16249199231262001</v>
      </c>
      <c r="R89" s="22">
        <f>SUMIF(E90:E105,O89,G90:G105)/G106</f>
        <v>0.771</v>
      </c>
      <c r="S89" s="23">
        <f>SUMIF(E90:E105,O89,L90:L105)/SUMIF(E90:E105,O89,G90:G105)</f>
        <v>0.05015865834422372</v>
      </c>
    </row>
    <row r="90" spans="2:19" ht="15">
      <c r="B90" s="9" t="s">
        <v>16</v>
      </c>
      <c r="C90" s="10" t="s">
        <v>17</v>
      </c>
      <c r="D90" s="8">
        <v>0.053</v>
      </c>
      <c r="E90" s="24" t="str">
        <f>VLOOKUP(C90,'[1]Codes Sectors Stata'!$C$1:$E$303,3,FALSE)</f>
        <v>Indi</v>
      </c>
      <c r="F90" s="25" t="str">
        <f>VLOOKUP(C90,'[1]Codes Sectors Stata'!$C$1:$E$303,2,FALSE)</f>
        <v>B</v>
      </c>
      <c r="G90" s="26">
        <f>D90*G106</f>
        <v>21200</v>
      </c>
      <c r="H90" s="27">
        <v>297</v>
      </c>
      <c r="I90" s="28">
        <f>G90/H90</f>
        <v>71.38047138047138</v>
      </c>
      <c r="J90" s="27">
        <f>INDEX('[2]Inputs'!$B$4:$F$430,MATCH(C90,'[2]Inputs'!$B$4:$B$430,0),2)/100</f>
        <v>277.5</v>
      </c>
      <c r="K90" s="29">
        <f>I90*J90</f>
        <v>19808.080808080806</v>
      </c>
      <c r="L90" s="30">
        <f>K90-G90</f>
        <v>-1391.9191919191944</v>
      </c>
      <c r="M90" s="31">
        <f>L90/G90</f>
        <v>-0.06565656565656577</v>
      </c>
      <c r="N90" s="31">
        <f aca="true" t="shared" si="22" ref="N90:N106">(1+M90)^(365/$AC$3)-1</f>
        <v>-0.10937325840000756</v>
      </c>
      <c r="O90" s="32" t="s">
        <v>57</v>
      </c>
      <c r="P90" s="33">
        <v>0.25</v>
      </c>
      <c r="Q90" s="21">
        <f>$AD$8</f>
        <v>0.11093478707316629</v>
      </c>
      <c r="R90" s="22">
        <f>SUMIF(E90:E105,O90,G90:G105)/G106</f>
        <v>0.179</v>
      </c>
      <c r="S90" s="34">
        <f>SUMIF(E90:E105,O90,L90:L105)/SUMIF(E90:E105,O90,G90:G105)</f>
        <v>0.34390959278591793</v>
      </c>
    </row>
    <row r="91" spans="2:19" ht="15">
      <c r="B91" s="9" t="s">
        <v>24</v>
      </c>
      <c r="C91" s="10" t="s">
        <v>24</v>
      </c>
      <c r="D91" s="15">
        <v>0.05</v>
      </c>
      <c r="E91" s="35" t="str">
        <f>VLOOKUP(C91,'[1]Codes Sectors Stata'!$C$1:$E$303,3,FALSE)</f>
        <v>Indi</v>
      </c>
      <c r="F91" s="36" t="str">
        <f>VLOOKUP(C91,'[1]Codes Sectors Stata'!$C$1:$E$303,2,FALSE)</f>
        <v>C</v>
      </c>
      <c r="G91" s="26">
        <f>D91*G106</f>
        <v>20000</v>
      </c>
      <c r="H91" s="27">
        <v>98.66</v>
      </c>
      <c r="I91" s="37">
        <f aca="true" t="shared" si="23" ref="I91:I105">G91/H91</f>
        <v>202.71639975674032</v>
      </c>
      <c r="J91" s="27">
        <f>INDEX('[2]Inputs'!$B$4:$F$430,MATCH(C91,'[2]Inputs'!$B$4:$B$430,0),2)/100</f>
        <v>110.56</v>
      </c>
      <c r="K91" s="38">
        <f aca="true" t="shared" si="24" ref="K91:K105">I91*J91</f>
        <v>22412.32515710521</v>
      </c>
      <c r="L91" s="30">
        <f aca="true" t="shared" si="25" ref="L91:L105">K91-G91</f>
        <v>2412.3251571052097</v>
      </c>
      <c r="M91" s="31">
        <f aca="true" t="shared" si="26" ref="M91:M105">L91/G91</f>
        <v>0.12061625785526048</v>
      </c>
      <c r="N91" s="31">
        <f t="shared" si="22"/>
        <v>0.21437855875962586</v>
      </c>
      <c r="O91" s="32" t="s">
        <v>58</v>
      </c>
      <c r="P91" s="39">
        <v>0.22</v>
      </c>
      <c r="Q91" s="21">
        <f>$AD$9</f>
        <v>0</v>
      </c>
      <c r="R91" s="22">
        <f>SUMIF(E90:E105,O91,G90:G105)/G106</f>
        <v>0.05</v>
      </c>
      <c r="S91" s="40">
        <f>SUMIF(E90:E105,O91,L90:L105)/SUMIF(E90:E105,O91,G90:G105)</f>
        <v>-0.07535694633496495</v>
      </c>
    </row>
    <row r="92" spans="2:19" ht="15">
      <c r="B92" s="9" t="s">
        <v>6</v>
      </c>
      <c r="C92" s="10" t="s">
        <v>7</v>
      </c>
      <c r="D92" s="15">
        <v>0.052</v>
      </c>
      <c r="E92" s="35" t="str">
        <f>VLOOKUP(C92,'[1]Codes Sectors Stata'!$C$1:$E$303,3,FALSE)</f>
        <v>Indi</v>
      </c>
      <c r="F92" s="36" t="str">
        <f>VLOOKUP(C92,'[1]Codes Sectors Stata'!$C$1:$E$303,2,FALSE)</f>
        <v>B</v>
      </c>
      <c r="G92" s="26">
        <f>D92*G106</f>
        <v>20800</v>
      </c>
      <c r="H92" s="27">
        <v>299.66</v>
      </c>
      <c r="I92" s="37">
        <f t="shared" si="23"/>
        <v>69.41200026696923</v>
      </c>
      <c r="J92" s="27">
        <f>INDEX('[2]Inputs'!$B$4:$F$430,MATCH(C92,'[2]Inputs'!$B$4:$B$430,0),2)/100</f>
        <v>300.99</v>
      </c>
      <c r="K92" s="38">
        <f t="shared" si="24"/>
        <v>20892.31796035507</v>
      </c>
      <c r="L92" s="30">
        <f t="shared" si="25"/>
        <v>92.31796035507068</v>
      </c>
      <c r="M92" s="31">
        <f t="shared" si="26"/>
        <v>0.004438363478609168</v>
      </c>
      <c r="N92" s="31">
        <f t="shared" si="22"/>
        <v>0.0075819545887969575</v>
      </c>
      <c r="O92" s="41" t="s">
        <v>59</v>
      </c>
      <c r="P92" s="39">
        <v>1</v>
      </c>
      <c r="Q92" s="42">
        <f>$AD$10</f>
        <v>0</v>
      </c>
      <c r="R92" s="43">
        <f>R89+R90+R91</f>
        <v>1</v>
      </c>
      <c r="S92" s="44">
        <f>L106/G106</f>
        <v>0.09646429537532752</v>
      </c>
    </row>
    <row r="93" spans="2:19" ht="15">
      <c r="B93" s="9" t="s">
        <v>25</v>
      </c>
      <c r="C93" s="10" t="s">
        <v>5</v>
      </c>
      <c r="D93" s="15">
        <v>0.094</v>
      </c>
      <c r="E93" s="35" t="str">
        <f>VLOOKUP(C93,'[1]Codes Sectors Stata'!$C$1:$E$303,3,FALSE)</f>
        <v>Indi</v>
      </c>
      <c r="F93" s="36" t="str">
        <f>VLOOKUP(C93,'[1]Codes Sectors Stata'!$C$1:$E$303,2,FALSE)</f>
        <v>A</v>
      </c>
      <c r="G93" s="26">
        <f>D93*G106</f>
        <v>37600</v>
      </c>
      <c r="H93" s="27">
        <v>944.13</v>
      </c>
      <c r="I93" s="37">
        <f t="shared" si="23"/>
        <v>39.825024096257934</v>
      </c>
      <c r="J93" s="27">
        <f>INDEX('[2]Inputs'!$B$4:$F$430,MATCH(C93,'[2]Inputs'!$B$4:$B$430,0),2)/100</f>
        <v>829.5</v>
      </c>
      <c r="K93" s="38">
        <f t="shared" si="24"/>
        <v>33034.857487845955</v>
      </c>
      <c r="L93" s="30">
        <f t="shared" si="25"/>
        <v>-4565.142512154045</v>
      </c>
      <c r="M93" s="31">
        <f t="shared" si="26"/>
        <v>-0.12141336468494801</v>
      </c>
      <c r="N93" s="31">
        <f t="shared" si="22"/>
        <v>-0.19810301432733268</v>
      </c>
      <c r="O93" s="45"/>
      <c r="P93" s="45"/>
      <c r="Q93" s="45"/>
      <c r="R93" s="45"/>
      <c r="S93" s="45"/>
    </row>
    <row r="94" spans="2:19" ht="15">
      <c r="B94" s="9" t="s">
        <v>96</v>
      </c>
      <c r="C94" s="10" t="s">
        <v>23</v>
      </c>
      <c r="D94" s="15">
        <v>0.124</v>
      </c>
      <c r="E94" s="35" t="str">
        <f>VLOOKUP(C94,'[1]Codes Sectors Stata'!$C$1:$E$303,3,FALSE)</f>
        <v>Indi</v>
      </c>
      <c r="F94" s="36" t="str">
        <f>VLOOKUP(C94,'[1]Codes Sectors Stata'!$C$1:$E$303,2,FALSE)</f>
        <v>A</v>
      </c>
      <c r="G94" s="26">
        <f>D94*G106</f>
        <v>49600</v>
      </c>
      <c r="H94" s="27">
        <v>110.61</v>
      </c>
      <c r="I94" s="37">
        <f t="shared" si="23"/>
        <v>448.42238495615226</v>
      </c>
      <c r="J94" s="27">
        <f>INDEX('[2]Inputs'!$B$4:$F$430,MATCH(C94,'[2]Inputs'!$B$4:$B$430,0),2)/100</f>
        <v>111.75</v>
      </c>
      <c r="K94" s="38">
        <f t="shared" si="24"/>
        <v>50111.201518850015</v>
      </c>
      <c r="L94" s="30">
        <f t="shared" si="25"/>
        <v>511.2015188500154</v>
      </c>
      <c r="M94" s="31">
        <f t="shared" si="26"/>
        <v>0.010306482234879344</v>
      </c>
      <c r="N94" s="31">
        <f t="shared" si="22"/>
        <v>0.017642668198353473</v>
      </c>
      <c r="O94" s="45"/>
      <c r="P94" s="45"/>
      <c r="Q94" s="45"/>
      <c r="R94" s="45"/>
      <c r="S94" s="45"/>
    </row>
    <row r="95" spans="2:19" ht="15">
      <c r="B95" s="9" t="s">
        <v>26</v>
      </c>
      <c r="C95" s="10" t="s">
        <v>27</v>
      </c>
      <c r="D95" s="15">
        <v>0.05</v>
      </c>
      <c r="E95" s="35" t="str">
        <f>VLOOKUP(C95,'[1]Codes Sectors Stata'!$C$1:$E$303,3,FALSE)</f>
        <v>Indi</v>
      </c>
      <c r="F95" s="36" t="str">
        <f>VLOOKUP(C95,'[1]Codes Sectors Stata'!$C$1:$E$303,2,FALSE)</f>
        <v>B</v>
      </c>
      <c r="G95" s="26">
        <f>D95*G106</f>
        <v>20000</v>
      </c>
      <c r="H95" s="27">
        <v>136.22</v>
      </c>
      <c r="I95" s="37">
        <f t="shared" si="23"/>
        <v>146.82131845543972</v>
      </c>
      <c r="J95" s="27">
        <f>INDEX('[2]Inputs'!$B$4:$F$430,MATCH(C95,'[2]Inputs'!$B$4:$B$430,0),2)/100</f>
        <v>181.13</v>
      </c>
      <c r="K95" s="38">
        <f t="shared" si="24"/>
        <v>26593.745411833796</v>
      </c>
      <c r="L95" s="30">
        <f t="shared" si="25"/>
        <v>6593.7454118337955</v>
      </c>
      <c r="M95" s="31">
        <f t="shared" si="26"/>
        <v>0.3296872705916898</v>
      </c>
      <c r="N95" s="31">
        <f t="shared" si="22"/>
        <v>0.625803639735423</v>
      </c>
      <c r="O95" s="45"/>
      <c r="P95" s="45"/>
      <c r="Q95" s="45"/>
      <c r="R95" s="45"/>
      <c r="S95" s="45"/>
    </row>
    <row r="96" spans="2:19" ht="15">
      <c r="B96" s="9" t="s">
        <v>28</v>
      </c>
      <c r="C96" s="10" t="s">
        <v>29</v>
      </c>
      <c r="D96" s="15">
        <v>0.05</v>
      </c>
      <c r="E96" s="35" t="str">
        <f>VLOOKUP(C96,'[1]Codes Sectors Stata'!$C$1:$E$303,3,FALSE)</f>
        <v>Fini</v>
      </c>
      <c r="F96" s="36" t="str">
        <f>VLOOKUP(C96,'[1]Codes Sectors Stata'!$C$1:$E$303,2,FALSE)</f>
        <v>C</v>
      </c>
      <c r="G96" s="26">
        <f>D96*G106</f>
        <v>20000</v>
      </c>
      <c r="H96" s="27">
        <v>778.78</v>
      </c>
      <c r="I96" s="37">
        <f t="shared" si="23"/>
        <v>25.681193661881405</v>
      </c>
      <c r="J96" s="27">
        <f>INDEX('[2]Inputs'!$B$4:$F$430,MATCH(C96,'[2]Inputs'!$B$4:$B$430,0),2)/100</f>
        <v>1097.96</v>
      </c>
      <c r="K96" s="38">
        <f t="shared" si="24"/>
        <v>28196.92339299931</v>
      </c>
      <c r="L96" s="30">
        <f t="shared" si="25"/>
        <v>8196.92339299931</v>
      </c>
      <c r="M96" s="31">
        <f t="shared" si="26"/>
        <v>0.4098461696499655</v>
      </c>
      <c r="N96" s="31">
        <f t="shared" si="22"/>
        <v>0.7965049403645139</v>
      </c>
      <c r="O96" s="45"/>
      <c r="P96" s="45"/>
      <c r="Q96" s="45"/>
      <c r="R96" s="45"/>
      <c r="S96" s="45"/>
    </row>
    <row r="97" spans="2:19" ht="15">
      <c r="B97" s="9" t="s">
        <v>40</v>
      </c>
      <c r="C97" s="10" t="s">
        <v>41</v>
      </c>
      <c r="D97" s="15">
        <v>0.068</v>
      </c>
      <c r="E97" s="35" t="str">
        <f>VLOOKUP(C97,'[1]Codes Sectors Stata'!$C$1:$E$303,3,FALSE)</f>
        <v>Fini</v>
      </c>
      <c r="F97" s="36" t="str">
        <f>VLOOKUP(C97,'[1]Codes Sectors Stata'!$C$1:$E$303,2,FALSE)</f>
        <v>B</v>
      </c>
      <c r="G97" s="26">
        <f>D97*G106</f>
        <v>27200.000000000004</v>
      </c>
      <c r="H97" s="27">
        <v>49.31</v>
      </c>
      <c r="I97" s="37">
        <f t="shared" si="23"/>
        <v>551.6122490367065</v>
      </c>
      <c r="J97" s="27">
        <f>INDEX('[2]Inputs'!$B$4:$F$430,MATCH(C97,'[2]Inputs'!$B$4:$B$430,0),2)/100</f>
        <v>67.25</v>
      </c>
      <c r="K97" s="38">
        <f t="shared" si="24"/>
        <v>37095.923747718516</v>
      </c>
      <c r="L97" s="30">
        <f t="shared" si="25"/>
        <v>9895.923747718512</v>
      </c>
      <c r="M97" s="31">
        <f t="shared" si="26"/>
        <v>0.3638207260190629</v>
      </c>
      <c r="N97" s="31">
        <f t="shared" si="22"/>
        <v>0.6976299743273773</v>
      </c>
      <c r="O97" s="45"/>
      <c r="P97" s="45"/>
      <c r="Q97" s="45"/>
      <c r="R97" s="45"/>
      <c r="S97" s="45"/>
    </row>
    <row r="98" spans="2:19" ht="15">
      <c r="B98" s="9" t="s">
        <v>8</v>
      </c>
      <c r="C98" s="10" t="s">
        <v>9</v>
      </c>
      <c r="D98" s="15">
        <v>0.04</v>
      </c>
      <c r="E98" s="35" t="str">
        <f>VLOOKUP(C98,'[1]Codes Sectors Stata'!$C$1:$E$303,3,FALSE)</f>
        <v>Indi</v>
      </c>
      <c r="F98" s="36" t="str">
        <f>VLOOKUP(C98,'[1]Codes Sectors Stata'!$C$1:$E$303,2,FALSE)</f>
        <v>B</v>
      </c>
      <c r="G98" s="26">
        <f>D98*G106</f>
        <v>16000</v>
      </c>
      <c r="H98" s="27">
        <v>136</v>
      </c>
      <c r="I98" s="37">
        <f t="shared" si="23"/>
        <v>117.6470588235294</v>
      </c>
      <c r="J98" s="27">
        <f>INDEX('[2]Inputs'!$B$4:$F$430,MATCH(C98,'[2]Inputs'!$B$4:$B$430,0),2)/100</f>
        <v>106.38</v>
      </c>
      <c r="K98" s="38">
        <f t="shared" si="24"/>
        <v>12515.294117647058</v>
      </c>
      <c r="L98" s="30">
        <f t="shared" si="25"/>
        <v>-3484.7058823529424</v>
      </c>
      <c r="M98" s="31">
        <f t="shared" si="26"/>
        <v>-0.2177941176470589</v>
      </c>
      <c r="N98" s="31">
        <f t="shared" si="22"/>
        <v>-0.342270028350921</v>
      </c>
      <c r="O98" s="46"/>
      <c r="P98" s="46"/>
      <c r="Q98" s="46"/>
      <c r="R98" s="46"/>
      <c r="S98" s="46"/>
    </row>
    <row r="99" spans="2:19" ht="15">
      <c r="B99" s="11" t="s">
        <v>42</v>
      </c>
      <c r="C99" s="10" t="s">
        <v>43</v>
      </c>
      <c r="D99" s="15">
        <v>0.05</v>
      </c>
      <c r="E99" s="35" t="str">
        <f>VLOOKUP(C99,'[1]Codes Sectors Stata'!$C$1:$E$303,3,FALSE)</f>
        <v>Resi</v>
      </c>
      <c r="F99" s="36" t="str">
        <f>VLOOKUP(C99,'[1]Codes Sectors Stata'!$C$1:$E$303,2,FALSE)</f>
        <v>B</v>
      </c>
      <c r="G99" s="26">
        <f>D99*G106</f>
        <v>20000</v>
      </c>
      <c r="H99" s="27">
        <v>345.29</v>
      </c>
      <c r="I99" s="37">
        <f t="shared" si="23"/>
        <v>57.92232616061861</v>
      </c>
      <c r="J99" s="27">
        <f>INDEX('[2]Inputs'!$B$4:$F$430,MATCH(C99,'[2]Inputs'!$B$4:$B$430,0),2)/100</f>
        <v>319.27</v>
      </c>
      <c r="K99" s="38">
        <f t="shared" si="24"/>
        <v>18492.8610733007</v>
      </c>
      <c r="L99" s="30">
        <f t="shared" si="25"/>
        <v>-1507.1389266992992</v>
      </c>
      <c r="M99" s="31">
        <f t="shared" si="26"/>
        <v>-0.07535694633496495</v>
      </c>
      <c r="N99" s="31">
        <f t="shared" si="22"/>
        <v>-0.12508635452635208</v>
      </c>
      <c r="O99" s="46"/>
      <c r="P99" s="46"/>
      <c r="Q99" s="46"/>
      <c r="R99" s="46"/>
      <c r="S99" s="46"/>
    </row>
    <row r="100" spans="2:19" ht="15">
      <c r="B100" s="9" t="s">
        <v>10</v>
      </c>
      <c r="C100" s="10" t="s">
        <v>11</v>
      </c>
      <c r="D100" s="15">
        <v>0.124</v>
      </c>
      <c r="E100" s="35" t="str">
        <f>VLOOKUP(C100,'[1]Codes Sectors Stata'!$C$1:$E$303,3,FALSE)</f>
        <v>Indi</v>
      </c>
      <c r="F100" s="36" t="str">
        <f>VLOOKUP(C100,'[1]Codes Sectors Stata'!$C$1:$E$303,2,FALSE)</f>
        <v>A</v>
      </c>
      <c r="G100" s="26">
        <f>D100*G106</f>
        <v>49600</v>
      </c>
      <c r="H100" s="27">
        <v>2715.56</v>
      </c>
      <c r="I100" s="37">
        <f t="shared" si="23"/>
        <v>18.265109222407165</v>
      </c>
      <c r="J100" s="27">
        <f>INDEX('[2]Inputs'!$B$4:$F$430,MATCH(C100,'[2]Inputs'!$B$4:$B$430,0),2)/100</f>
        <v>3451</v>
      </c>
      <c r="K100" s="38">
        <f t="shared" si="24"/>
        <v>63032.891926527125</v>
      </c>
      <c r="L100" s="30">
        <f t="shared" si="25"/>
        <v>13432.891926527125</v>
      </c>
      <c r="M100" s="31">
        <f t="shared" si="26"/>
        <v>0.270824434002563</v>
      </c>
      <c r="N100" s="31">
        <f t="shared" si="22"/>
        <v>0.5049743674903695</v>
      </c>
      <c r="O100" s="46"/>
      <c r="P100" s="46"/>
      <c r="Q100" s="46"/>
      <c r="R100" s="46"/>
      <c r="S100" s="46"/>
    </row>
    <row r="101" spans="2:19" ht="15">
      <c r="B101" s="9" t="s">
        <v>34</v>
      </c>
      <c r="C101" s="10" t="s">
        <v>35</v>
      </c>
      <c r="D101" s="15">
        <v>0.051</v>
      </c>
      <c r="E101" s="35" t="str">
        <f>VLOOKUP(C101,'[1]Codes Sectors Stata'!$C$1:$E$303,3,FALSE)</f>
        <v>Indi</v>
      </c>
      <c r="F101" s="36" t="str">
        <f>VLOOKUP(C101,'[1]Codes Sectors Stata'!$C$1:$E$303,2,FALSE)</f>
        <v>B</v>
      </c>
      <c r="G101" s="26">
        <f>D101*G106</f>
        <v>20400</v>
      </c>
      <c r="H101" s="27">
        <v>209</v>
      </c>
      <c r="I101" s="37">
        <f t="shared" si="23"/>
        <v>97.60765550239235</v>
      </c>
      <c r="J101" s="27">
        <f>INDEX('[2]Inputs'!$B$4:$F$430,MATCH(C101,'[2]Inputs'!$B$4:$B$430,0),2)/100</f>
        <v>221.19</v>
      </c>
      <c r="K101" s="38">
        <f t="shared" si="24"/>
        <v>21589.837320574163</v>
      </c>
      <c r="L101" s="30">
        <f t="shared" si="25"/>
        <v>1189.8373205741627</v>
      </c>
      <c r="M101" s="31">
        <f t="shared" si="26"/>
        <v>0.05832535885167464</v>
      </c>
      <c r="N101" s="31">
        <f t="shared" si="22"/>
        <v>0.10151571091760547</v>
      </c>
      <c r="O101" s="46"/>
      <c r="P101" s="46"/>
      <c r="Q101" s="46"/>
      <c r="R101" s="46"/>
      <c r="S101" s="46"/>
    </row>
    <row r="102" spans="2:19" ht="15">
      <c r="B102" s="9" t="s">
        <v>36</v>
      </c>
      <c r="C102" s="10" t="s">
        <v>37</v>
      </c>
      <c r="D102" s="15">
        <v>0.061</v>
      </c>
      <c r="E102" s="35" t="str">
        <f>VLOOKUP(C102,'[1]Codes Sectors Stata'!$C$1:$E$303,3,FALSE)</f>
        <v>Fini</v>
      </c>
      <c r="F102" s="36" t="str">
        <f>VLOOKUP(C102,'[1]Codes Sectors Stata'!$C$1:$E$303,2,FALSE)</f>
        <v>B</v>
      </c>
      <c r="G102" s="26">
        <f>D102*G106</f>
        <v>24400</v>
      </c>
      <c r="H102" s="27">
        <v>68.63</v>
      </c>
      <c r="I102" s="37">
        <f t="shared" si="23"/>
        <v>355.529651755792</v>
      </c>
      <c r="J102" s="27">
        <f>INDEX('[2]Inputs'!$B$4:$F$430,MATCH(C102,'[2]Inputs'!$B$4:$B$430,0),2)/100</f>
        <v>87</v>
      </c>
      <c r="K102" s="38">
        <f t="shared" si="24"/>
        <v>30931.0797027539</v>
      </c>
      <c r="L102" s="30">
        <f t="shared" si="25"/>
        <v>6531.079702753901</v>
      </c>
      <c r="M102" s="31">
        <f t="shared" si="26"/>
        <v>0.26766720093253693</v>
      </c>
      <c r="N102" s="31">
        <f t="shared" si="22"/>
        <v>0.498602769597692</v>
      </c>
      <c r="O102" s="46"/>
      <c r="P102" s="46"/>
      <c r="Q102" s="46"/>
      <c r="R102" s="46"/>
      <c r="S102" s="46"/>
    </row>
    <row r="103" spans="2:19" ht="15">
      <c r="B103" s="9" t="s">
        <v>48</v>
      </c>
      <c r="C103" s="10" t="s">
        <v>38</v>
      </c>
      <c r="D103" s="15">
        <v>0.043</v>
      </c>
      <c r="E103" s="35" t="str">
        <f>VLOOKUP(C103,'[1]Codes Sectors Stata'!$C$1:$E$303,3,FALSE)</f>
        <v>Indi</v>
      </c>
      <c r="F103" s="36" t="str">
        <f>VLOOKUP(C103,'[1]Codes Sectors Stata'!$C$1:$E$303,2,FALSE)</f>
        <v>B</v>
      </c>
      <c r="G103" s="26">
        <f>D103*G106</f>
        <v>17200</v>
      </c>
      <c r="H103" s="27">
        <v>384</v>
      </c>
      <c r="I103" s="37">
        <f t="shared" si="23"/>
        <v>44.791666666666664</v>
      </c>
      <c r="J103" s="27">
        <f>INDEX('[2]Inputs'!$B$4:$F$430,MATCH(C103,'[2]Inputs'!$B$4:$B$430,0),2)/100</f>
        <v>460</v>
      </c>
      <c r="K103" s="38">
        <f t="shared" si="24"/>
        <v>20604.166666666664</v>
      </c>
      <c r="L103" s="30">
        <f t="shared" si="25"/>
        <v>3404.1666666666642</v>
      </c>
      <c r="M103" s="31">
        <f t="shared" si="26"/>
        <v>0.19791666666666652</v>
      </c>
      <c r="N103" s="31">
        <f t="shared" si="22"/>
        <v>0.3607082182642263</v>
      </c>
      <c r="O103" s="46"/>
      <c r="P103" s="46"/>
      <c r="Q103" s="46"/>
      <c r="R103" s="46"/>
      <c r="S103" s="46"/>
    </row>
    <row r="104" spans="2:19" ht="15">
      <c r="B104" s="9" t="s">
        <v>45</v>
      </c>
      <c r="C104" s="10" t="s">
        <v>46</v>
      </c>
      <c r="D104" s="15">
        <v>0.046</v>
      </c>
      <c r="E104" s="35" t="str">
        <f>VLOOKUP(C104,'[1]Codes Sectors Stata'!$C$1:$E$303,3,FALSE)</f>
        <v>Indi</v>
      </c>
      <c r="F104" s="36" t="str">
        <f>VLOOKUP(C104,'[1]Codes Sectors Stata'!$C$1:$E$303,2,FALSE)</f>
        <v>B</v>
      </c>
      <c r="G104" s="26">
        <f>D104*G106</f>
        <v>18400</v>
      </c>
      <c r="H104" s="27">
        <v>165.26</v>
      </c>
      <c r="I104" s="37">
        <f t="shared" si="23"/>
        <v>111.33970712816169</v>
      </c>
      <c r="J104" s="27">
        <f>INDEX('[2]Inputs'!$B$4:$F$430,MATCH(C104,'[2]Inputs'!$B$4:$B$430,0),2)/100</f>
        <v>145.68</v>
      </c>
      <c r="K104" s="38">
        <f t="shared" si="24"/>
        <v>16219.968534430596</v>
      </c>
      <c r="L104" s="30">
        <f t="shared" si="25"/>
        <v>-2180.0314655694037</v>
      </c>
      <c r="M104" s="31">
        <f t="shared" si="26"/>
        <v>-0.1184799709548589</v>
      </c>
      <c r="N104" s="31">
        <f t="shared" si="22"/>
        <v>-0.19353113732143123</v>
      </c>
      <c r="O104" s="46"/>
      <c r="P104" s="46"/>
      <c r="Q104" s="46"/>
      <c r="R104" s="46"/>
      <c r="S104" s="46"/>
    </row>
    <row r="105" spans="2:19" ht="15">
      <c r="B105" s="9" t="s">
        <v>39</v>
      </c>
      <c r="C105" s="10" t="s">
        <v>20</v>
      </c>
      <c r="D105" s="15">
        <v>0.044</v>
      </c>
      <c r="E105" s="47" t="str">
        <f>VLOOKUP(C105,'[1]Codes Sectors Stata'!$C$1:$E$303,3,FALSE)</f>
        <v>Indi</v>
      </c>
      <c r="F105" s="48" t="str">
        <f>VLOOKUP(C105,'[1]Codes Sectors Stata'!$C$1:$E$303,2,FALSE)</f>
        <v>B</v>
      </c>
      <c r="G105" s="26">
        <f>D105*G106</f>
        <v>17600</v>
      </c>
      <c r="H105" s="27">
        <v>67.4</v>
      </c>
      <c r="I105" s="37">
        <f t="shared" si="23"/>
        <v>261.1275964391691</v>
      </c>
      <c r="J105" s="27">
        <f>INDEX('[2]Inputs'!$B$4:$F$430,MATCH(C105,'[2]Inputs'!$B$4:$B$430,0),2)/100</f>
        <v>65.31</v>
      </c>
      <c r="K105" s="38">
        <f t="shared" si="24"/>
        <v>17054.243323442137</v>
      </c>
      <c r="L105" s="30">
        <f t="shared" si="25"/>
        <v>-545.7566765578631</v>
      </c>
      <c r="M105" s="31">
        <f t="shared" si="26"/>
        <v>-0.03100890207715131</v>
      </c>
      <c r="N105" s="31">
        <f t="shared" si="22"/>
        <v>-0.052308627817396536</v>
      </c>
      <c r="O105" s="46"/>
      <c r="P105" s="46"/>
      <c r="Q105" s="46"/>
      <c r="R105" s="46"/>
      <c r="S105" s="46"/>
    </row>
    <row r="106" spans="2:19" ht="15">
      <c r="B106" s="12"/>
      <c r="C106" s="13"/>
      <c r="D106" s="14">
        <f>SUM(D90:D105)</f>
        <v>1</v>
      </c>
      <c r="E106" s="13"/>
      <c r="F106" s="49"/>
      <c r="G106" s="50">
        <v>400000</v>
      </c>
      <c r="H106" s="12"/>
      <c r="I106" s="51"/>
      <c r="J106" s="12"/>
      <c r="K106" s="52">
        <f>SUM(K90:K105)</f>
        <v>438585.71815013106</v>
      </c>
      <c r="L106" s="53">
        <f>SUM(L90:L105)</f>
        <v>38585.71815013101</v>
      </c>
      <c r="M106" s="54">
        <f>L106/G106</f>
        <v>0.09646429537532752</v>
      </c>
      <c r="N106" s="54">
        <f t="shared" si="22"/>
        <v>0.17007825451593805</v>
      </c>
      <c r="O106" s="46"/>
      <c r="P106" s="46"/>
      <c r="Q106" s="46"/>
      <c r="R106" s="46"/>
      <c r="S106" s="46"/>
    </row>
    <row r="107" spans="5:19" ht="15"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5:19" ht="15"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2:19" ht="15">
      <c r="B109" s="1" t="s">
        <v>106</v>
      </c>
      <c r="C109" s="2" t="s">
        <v>0</v>
      </c>
      <c r="D109" s="2" t="s">
        <v>1</v>
      </c>
      <c r="E109" s="55" t="s">
        <v>60</v>
      </c>
      <c r="F109" s="55" t="s">
        <v>61</v>
      </c>
      <c r="G109" s="55"/>
      <c r="H109" s="56">
        <v>42886</v>
      </c>
      <c r="I109" s="2"/>
      <c r="J109" s="123">
        <f>$AC$4</f>
        <v>43100</v>
      </c>
      <c r="K109" s="124"/>
      <c r="L109" s="124"/>
      <c r="M109" s="57" t="s">
        <v>62</v>
      </c>
      <c r="N109" s="57" t="s">
        <v>63</v>
      </c>
      <c r="O109" s="58" t="s">
        <v>64</v>
      </c>
      <c r="P109" s="58" t="s">
        <v>65</v>
      </c>
      <c r="Q109" s="59" t="s">
        <v>66</v>
      </c>
      <c r="R109" s="59" t="s">
        <v>67</v>
      </c>
      <c r="S109" s="60" t="s">
        <v>55</v>
      </c>
    </row>
    <row r="110" spans="2:19" ht="15">
      <c r="B110" s="3" t="s">
        <v>2</v>
      </c>
      <c r="C110" s="4" t="s">
        <v>3</v>
      </c>
      <c r="D110" s="5" t="s">
        <v>4</v>
      </c>
      <c r="E110" s="16" t="s">
        <v>49</v>
      </c>
      <c r="F110" s="5" t="s">
        <v>50</v>
      </c>
      <c r="G110" s="16" t="s">
        <v>51</v>
      </c>
      <c r="H110" s="16" t="s">
        <v>52</v>
      </c>
      <c r="I110" s="16" t="s">
        <v>53</v>
      </c>
      <c r="J110" s="17" t="s">
        <v>52</v>
      </c>
      <c r="K110" s="17" t="s">
        <v>54</v>
      </c>
      <c r="L110" s="18" t="s">
        <v>55</v>
      </c>
      <c r="M110" s="16" t="s">
        <v>55</v>
      </c>
      <c r="N110" s="16" t="s">
        <v>55</v>
      </c>
      <c r="O110" s="19" t="s">
        <v>56</v>
      </c>
      <c r="P110" s="20">
        <v>0.53</v>
      </c>
      <c r="Q110" s="21">
        <f>$AD$7</f>
        <v>0.16249199231262001</v>
      </c>
      <c r="R110" s="22">
        <f>SUMIF(E111:E126,O110,G111:G126)/G127</f>
        <v>0.7</v>
      </c>
      <c r="S110" s="23">
        <f>SUMIF(E111:E126,O110,L111:L126)/SUMIF(E111:E126,O110,G111:G126)</f>
        <v>0.06995790230507261</v>
      </c>
    </row>
    <row r="111" spans="2:19" ht="15">
      <c r="B111" s="6" t="s">
        <v>16</v>
      </c>
      <c r="C111" s="7" t="s">
        <v>17</v>
      </c>
      <c r="D111" s="8">
        <v>0.05</v>
      </c>
      <c r="E111" s="24" t="str">
        <f>VLOOKUP(C111,'[1]Codes Sectors Stata'!$C$1:$E$303,3,FALSE)</f>
        <v>Indi</v>
      </c>
      <c r="F111" s="25" t="str">
        <f>VLOOKUP(C111,'[1]Codes Sectors Stata'!$C$1:$E$303,2,FALSE)</f>
        <v>B</v>
      </c>
      <c r="G111" s="26">
        <f>D111*G127</f>
        <v>20000</v>
      </c>
      <c r="H111" s="27">
        <v>297</v>
      </c>
      <c r="I111" s="28">
        <f>G111/H111</f>
        <v>67.34006734006734</v>
      </c>
      <c r="J111" s="27">
        <f>INDEX('[2]Inputs'!$B$4:$F$430,MATCH(C111,'[2]Inputs'!$B$4:$B$430,0),2)/100</f>
        <v>277.5</v>
      </c>
      <c r="K111" s="29">
        <f>I111*J111</f>
        <v>18686.868686868685</v>
      </c>
      <c r="L111" s="30">
        <f>K111-G111</f>
        <v>-1313.1313131313145</v>
      </c>
      <c r="M111" s="31">
        <f>L111/G111</f>
        <v>-0.06565656565656573</v>
      </c>
      <c r="N111" s="31">
        <f aca="true" t="shared" si="27" ref="N111:N127">(1+M111)^(365/$AC$3)-1</f>
        <v>-0.10937325840000756</v>
      </c>
      <c r="O111" s="32" t="s">
        <v>57</v>
      </c>
      <c r="P111" s="33">
        <v>0.25</v>
      </c>
      <c r="Q111" s="21">
        <f>$AD$8</f>
        <v>0.11093478707316629</v>
      </c>
      <c r="R111" s="22">
        <f>SUMIF(E111:E126,O111,G111:G126)/G127</f>
        <v>0.24</v>
      </c>
      <c r="S111" s="34">
        <f>SUMIF(E111:E126,O111,L111:L126)/SUMIF(E111:E126,O111,G111:G126)</f>
        <v>0.3774520655983927</v>
      </c>
    </row>
    <row r="112" spans="2:19" ht="15">
      <c r="B112" s="9" t="s">
        <v>107</v>
      </c>
      <c r="C112" s="10" t="s">
        <v>24</v>
      </c>
      <c r="D112" s="15">
        <v>0.04</v>
      </c>
      <c r="E112" s="35" t="str">
        <f>VLOOKUP(C112,'[1]Codes Sectors Stata'!$C$1:$E$303,3,FALSE)</f>
        <v>Indi</v>
      </c>
      <c r="F112" s="36" t="str">
        <f>VLOOKUP(C112,'[1]Codes Sectors Stata'!$C$1:$E$303,2,FALSE)</f>
        <v>C</v>
      </c>
      <c r="G112" s="26">
        <f>D112*G127</f>
        <v>16000</v>
      </c>
      <c r="H112" s="27">
        <v>98.66</v>
      </c>
      <c r="I112" s="37">
        <f aca="true" t="shared" si="28" ref="I112:I126">G112/H112</f>
        <v>162.17311980539228</v>
      </c>
      <c r="J112" s="27">
        <f>INDEX('[2]Inputs'!$B$4:$F$430,MATCH(C112,'[2]Inputs'!$B$4:$B$430,0),2)/100</f>
        <v>110.56</v>
      </c>
      <c r="K112" s="38">
        <f aca="true" t="shared" si="29" ref="K112:K126">I112*J112</f>
        <v>17929.860125684172</v>
      </c>
      <c r="L112" s="30">
        <f aca="true" t="shared" si="30" ref="L112:L126">K112-G112</f>
        <v>1929.860125684172</v>
      </c>
      <c r="M112" s="31">
        <f aca="true" t="shared" si="31" ref="M112:M126">L112/G112</f>
        <v>0.12061625785526076</v>
      </c>
      <c r="N112" s="31">
        <f t="shared" si="27"/>
        <v>0.2143785587596263</v>
      </c>
      <c r="O112" s="32" t="s">
        <v>58</v>
      </c>
      <c r="P112" s="39">
        <v>0.22</v>
      </c>
      <c r="Q112" s="21">
        <f>$AD$9</f>
        <v>0</v>
      </c>
      <c r="R112" s="22">
        <f>SUMIF(E111:E126,O112,G111:G126)/G127</f>
        <v>0.06</v>
      </c>
      <c r="S112" s="40">
        <f>SUMIF(E111:E126,O112,L111:L126)/SUMIF(E111:E126,O112,G111:G126)</f>
        <v>-0.07535694633496495</v>
      </c>
    </row>
    <row r="113" spans="2:19" ht="15">
      <c r="B113" s="9" t="s">
        <v>6</v>
      </c>
      <c r="C113" s="10" t="s">
        <v>7</v>
      </c>
      <c r="D113" s="15">
        <v>0.06</v>
      </c>
      <c r="E113" s="35" t="str">
        <f>VLOOKUP(C113,'[1]Codes Sectors Stata'!$C$1:$E$303,3,FALSE)</f>
        <v>Indi</v>
      </c>
      <c r="F113" s="36" t="str">
        <f>VLOOKUP(C113,'[1]Codes Sectors Stata'!$C$1:$E$303,2,FALSE)</f>
        <v>B</v>
      </c>
      <c r="G113" s="26">
        <f>D113*G127</f>
        <v>24000</v>
      </c>
      <c r="H113" s="27">
        <v>299.66</v>
      </c>
      <c r="I113" s="37">
        <f t="shared" si="28"/>
        <v>80.09076953881065</v>
      </c>
      <c r="J113" s="27">
        <f>INDEX('[2]Inputs'!$B$4:$F$430,MATCH(C113,'[2]Inputs'!$B$4:$B$430,0),2)/100</f>
        <v>300.99</v>
      </c>
      <c r="K113" s="38">
        <f t="shared" si="29"/>
        <v>24106.520723486617</v>
      </c>
      <c r="L113" s="30">
        <f t="shared" si="30"/>
        <v>106.5207234866175</v>
      </c>
      <c r="M113" s="31">
        <f t="shared" si="31"/>
        <v>0.004438363478609063</v>
      </c>
      <c r="N113" s="31">
        <f t="shared" si="27"/>
        <v>0.0075819545887969575</v>
      </c>
      <c r="O113" s="41" t="s">
        <v>59</v>
      </c>
      <c r="P113" s="39">
        <v>1</v>
      </c>
      <c r="Q113" s="42">
        <f>$AD$10</f>
        <v>0</v>
      </c>
      <c r="R113" s="43">
        <f>R110+R111+R112</f>
        <v>1</v>
      </c>
      <c r="S113" s="44">
        <f>L127/G127</f>
        <v>0.1350376105770672</v>
      </c>
    </row>
    <row r="114" spans="2:19" ht="15">
      <c r="B114" s="9" t="s">
        <v>25</v>
      </c>
      <c r="C114" s="10" t="s">
        <v>5</v>
      </c>
      <c r="D114" s="15">
        <v>0.08</v>
      </c>
      <c r="E114" s="35" t="str">
        <f>VLOOKUP(C114,'[1]Codes Sectors Stata'!$C$1:$E$303,3,FALSE)</f>
        <v>Indi</v>
      </c>
      <c r="F114" s="36" t="str">
        <f>VLOOKUP(C114,'[1]Codes Sectors Stata'!$C$1:$E$303,2,FALSE)</f>
        <v>A</v>
      </c>
      <c r="G114" s="26">
        <f>D114*G127</f>
        <v>32000</v>
      </c>
      <c r="H114" s="27">
        <v>944.13</v>
      </c>
      <c r="I114" s="37">
        <f t="shared" si="28"/>
        <v>33.89363752873015</v>
      </c>
      <c r="J114" s="27">
        <f>INDEX('[2]Inputs'!$B$4:$F$430,MATCH(C114,'[2]Inputs'!$B$4:$B$430,0),2)/100</f>
        <v>829.5</v>
      </c>
      <c r="K114" s="38">
        <f t="shared" si="29"/>
        <v>28114.77233008166</v>
      </c>
      <c r="L114" s="30">
        <f t="shared" si="30"/>
        <v>-3885.2276699183385</v>
      </c>
      <c r="M114" s="31">
        <f t="shared" si="31"/>
        <v>-0.12141336468494808</v>
      </c>
      <c r="N114" s="31">
        <f t="shared" si="27"/>
        <v>-0.1981030143273328</v>
      </c>
      <c r="O114" s="45"/>
      <c r="P114" s="45"/>
      <c r="Q114" s="45"/>
      <c r="R114" s="45"/>
      <c r="S114" s="45"/>
    </row>
    <row r="115" spans="2:19" ht="15">
      <c r="B115" s="9" t="s">
        <v>96</v>
      </c>
      <c r="C115" s="10" t="s">
        <v>23</v>
      </c>
      <c r="D115" s="15">
        <v>0.08</v>
      </c>
      <c r="E115" s="35" t="str">
        <f>VLOOKUP(C115,'[1]Codes Sectors Stata'!$C$1:$E$303,3,FALSE)</f>
        <v>Indi</v>
      </c>
      <c r="F115" s="36" t="str">
        <f>VLOOKUP(C115,'[1]Codes Sectors Stata'!$C$1:$E$303,2,FALSE)</f>
        <v>A</v>
      </c>
      <c r="G115" s="26">
        <f>D115*G127</f>
        <v>32000</v>
      </c>
      <c r="H115" s="27">
        <v>110.61</v>
      </c>
      <c r="I115" s="37">
        <f t="shared" si="28"/>
        <v>289.30476448784015</v>
      </c>
      <c r="J115" s="27">
        <f>INDEX('[2]Inputs'!$B$4:$F$430,MATCH(C115,'[2]Inputs'!$B$4:$B$430,0),2)/100</f>
        <v>111.75</v>
      </c>
      <c r="K115" s="38">
        <f t="shared" si="29"/>
        <v>32329.807431516136</v>
      </c>
      <c r="L115" s="30">
        <f t="shared" si="30"/>
        <v>329.8074315161357</v>
      </c>
      <c r="M115" s="31">
        <f t="shared" si="31"/>
        <v>0.01030648223487924</v>
      </c>
      <c r="N115" s="31">
        <f t="shared" si="27"/>
        <v>0.017642668198353473</v>
      </c>
      <c r="O115" s="45"/>
      <c r="P115" s="45"/>
      <c r="Q115" s="45"/>
      <c r="R115" s="45"/>
      <c r="S115" s="45"/>
    </row>
    <row r="116" spans="2:19" ht="15">
      <c r="B116" s="9" t="s">
        <v>26</v>
      </c>
      <c r="C116" s="118" t="s">
        <v>27</v>
      </c>
      <c r="D116" s="15">
        <v>0.04</v>
      </c>
      <c r="E116" s="35" t="str">
        <f>VLOOKUP(C116,'[1]Codes Sectors Stata'!$C$1:$E$303,3,FALSE)</f>
        <v>Indi</v>
      </c>
      <c r="F116" s="36" t="str">
        <f>VLOOKUP(C116,'[1]Codes Sectors Stata'!$C$1:$E$303,2,FALSE)</f>
        <v>B</v>
      </c>
      <c r="G116" s="26">
        <f>D116*G127</f>
        <v>16000</v>
      </c>
      <c r="H116" s="27">
        <v>136.22</v>
      </c>
      <c r="I116" s="37">
        <f t="shared" si="28"/>
        <v>117.45705476435178</v>
      </c>
      <c r="J116" s="27">
        <f>INDEX('[2]Inputs'!$B$4:$F$430,MATCH(C116,'[2]Inputs'!$B$4:$B$430,0),2)/100</f>
        <v>181.13</v>
      </c>
      <c r="K116" s="38">
        <f t="shared" si="29"/>
        <v>21274.996329467038</v>
      </c>
      <c r="L116" s="30">
        <f t="shared" si="30"/>
        <v>5274.996329467038</v>
      </c>
      <c r="M116" s="31">
        <f t="shared" si="31"/>
        <v>0.32968727059168984</v>
      </c>
      <c r="N116" s="31">
        <f t="shared" si="27"/>
        <v>0.625803639735423</v>
      </c>
      <c r="O116" s="45"/>
      <c r="P116" s="45"/>
      <c r="Q116" s="45"/>
      <c r="R116" s="45"/>
      <c r="S116" s="45"/>
    </row>
    <row r="117" spans="2:19" ht="15">
      <c r="B117" s="9" t="s">
        <v>28</v>
      </c>
      <c r="C117" s="10" t="s">
        <v>29</v>
      </c>
      <c r="D117" s="15">
        <v>0.08</v>
      </c>
      <c r="E117" s="35" t="str">
        <f>VLOOKUP(C117,'[1]Codes Sectors Stata'!$C$1:$E$303,3,FALSE)</f>
        <v>Fini</v>
      </c>
      <c r="F117" s="36" t="str">
        <f>VLOOKUP(C117,'[1]Codes Sectors Stata'!$C$1:$E$303,2,FALSE)</f>
        <v>C</v>
      </c>
      <c r="G117" s="26">
        <f>D117*G127</f>
        <v>32000</v>
      </c>
      <c r="H117" s="27">
        <v>778.78</v>
      </c>
      <c r="I117" s="37">
        <f t="shared" si="28"/>
        <v>41.08990985901025</v>
      </c>
      <c r="J117" s="27">
        <f>INDEX('[2]Inputs'!$B$4:$F$430,MATCH(C117,'[2]Inputs'!$B$4:$B$430,0),2)/100</f>
        <v>1097.96</v>
      </c>
      <c r="K117" s="38">
        <f t="shared" si="29"/>
        <v>45115.0774287989</v>
      </c>
      <c r="L117" s="30">
        <f t="shared" si="30"/>
        <v>13115.077428798897</v>
      </c>
      <c r="M117" s="31">
        <f t="shared" si="31"/>
        <v>0.4098461696499655</v>
      </c>
      <c r="N117" s="31">
        <f t="shared" si="27"/>
        <v>0.7965049403645139</v>
      </c>
      <c r="O117" s="45"/>
      <c r="P117" s="45"/>
      <c r="Q117" s="45"/>
      <c r="R117" s="45"/>
      <c r="S117" s="45"/>
    </row>
    <row r="118" spans="2:19" ht="15">
      <c r="B118" s="9" t="s">
        <v>30</v>
      </c>
      <c r="C118" s="118" t="s">
        <v>19</v>
      </c>
      <c r="D118" s="15">
        <v>0.05</v>
      </c>
      <c r="E118" s="35" t="str">
        <f>VLOOKUP(C118,'[1]Codes Sectors Stata'!$C$1:$E$303,3,FALSE)</f>
        <v>Fini</v>
      </c>
      <c r="F118" s="36" t="str">
        <f>VLOOKUP(C118,'[1]Codes Sectors Stata'!$C$1:$E$303,2,FALSE)</f>
        <v>B</v>
      </c>
      <c r="G118" s="26">
        <f>D118*G127</f>
        <v>20000</v>
      </c>
      <c r="H118" s="27">
        <v>128.12</v>
      </c>
      <c r="I118" s="37">
        <f t="shared" si="28"/>
        <v>156.1036528254761</v>
      </c>
      <c r="J118" s="27">
        <f>INDEX('[2]Inputs'!$B$4:$F$430,MATCH(C118,'[2]Inputs'!$B$4:$B$430,0),2)/100</f>
        <v>186</v>
      </c>
      <c r="K118" s="38">
        <f t="shared" si="29"/>
        <v>29035.279425538556</v>
      </c>
      <c r="L118" s="30">
        <f t="shared" si="30"/>
        <v>9035.279425538556</v>
      </c>
      <c r="M118" s="31">
        <f t="shared" si="31"/>
        <v>0.4517639712769278</v>
      </c>
      <c r="N118" s="31">
        <f t="shared" si="27"/>
        <v>0.8885611535888489</v>
      </c>
      <c r="O118" s="45"/>
      <c r="P118" s="45"/>
      <c r="Q118" s="45"/>
      <c r="R118" s="45"/>
      <c r="S118" s="45"/>
    </row>
    <row r="119" spans="2:19" ht="15">
      <c r="B119" s="9" t="s">
        <v>40</v>
      </c>
      <c r="C119" s="118" t="s">
        <v>41</v>
      </c>
      <c r="D119" s="15">
        <v>0.06</v>
      </c>
      <c r="E119" s="35" t="str">
        <f>VLOOKUP(C119,'[1]Codes Sectors Stata'!$C$1:$E$303,3,FALSE)</f>
        <v>Fini</v>
      </c>
      <c r="F119" s="36" t="str">
        <f>VLOOKUP(C119,'[1]Codes Sectors Stata'!$C$1:$E$303,2,FALSE)</f>
        <v>B</v>
      </c>
      <c r="G119" s="26">
        <f>D119*G127</f>
        <v>24000</v>
      </c>
      <c r="H119" s="27">
        <v>49.31</v>
      </c>
      <c r="I119" s="37">
        <f t="shared" si="28"/>
        <v>486.7166903265058</v>
      </c>
      <c r="J119" s="27">
        <f>INDEX('[2]Inputs'!$B$4:$F$430,MATCH(C119,'[2]Inputs'!$B$4:$B$430,0),2)/100</f>
        <v>67.25</v>
      </c>
      <c r="K119" s="38">
        <f t="shared" si="29"/>
        <v>32731.697424457514</v>
      </c>
      <c r="L119" s="30">
        <f t="shared" si="30"/>
        <v>8731.697424457514</v>
      </c>
      <c r="M119" s="31">
        <f t="shared" si="31"/>
        <v>0.36382072601906307</v>
      </c>
      <c r="N119" s="31">
        <f t="shared" si="27"/>
        <v>0.6976299743273777</v>
      </c>
      <c r="O119" s="46"/>
      <c r="P119" s="46"/>
      <c r="Q119" s="46"/>
      <c r="R119" s="46"/>
      <c r="S119" s="46"/>
    </row>
    <row r="120" spans="2:19" ht="15">
      <c r="B120" s="9" t="s">
        <v>8</v>
      </c>
      <c r="C120" s="118" t="s">
        <v>9</v>
      </c>
      <c r="D120" s="15">
        <v>0.04</v>
      </c>
      <c r="E120" s="35" t="str">
        <f>VLOOKUP(C120,'[1]Codes Sectors Stata'!$C$1:$E$303,3,FALSE)</f>
        <v>Indi</v>
      </c>
      <c r="F120" s="36" t="str">
        <f>VLOOKUP(C120,'[1]Codes Sectors Stata'!$C$1:$E$303,2,FALSE)</f>
        <v>B</v>
      </c>
      <c r="G120" s="26">
        <f>D120*G127</f>
        <v>16000</v>
      </c>
      <c r="H120" s="27">
        <v>136</v>
      </c>
      <c r="I120" s="37">
        <f t="shared" si="28"/>
        <v>117.6470588235294</v>
      </c>
      <c r="J120" s="27">
        <f>INDEX('[2]Inputs'!$B$4:$F$430,MATCH(C120,'[2]Inputs'!$B$4:$B$430,0),2)/100</f>
        <v>106.38</v>
      </c>
      <c r="K120" s="38">
        <f t="shared" si="29"/>
        <v>12515.294117647058</v>
      </c>
      <c r="L120" s="30">
        <f t="shared" si="30"/>
        <v>-3484.7058823529424</v>
      </c>
      <c r="M120" s="31">
        <f t="shared" si="31"/>
        <v>-0.2177941176470589</v>
      </c>
      <c r="N120" s="31">
        <f t="shared" si="27"/>
        <v>-0.342270028350921</v>
      </c>
      <c r="O120" s="46"/>
      <c r="P120" s="46"/>
      <c r="Q120" s="46"/>
      <c r="R120" s="46"/>
      <c r="S120" s="46"/>
    </row>
    <row r="121" spans="2:19" ht="15">
      <c r="B121" s="9" t="s">
        <v>100</v>
      </c>
      <c r="C121" s="118" t="s">
        <v>43</v>
      </c>
      <c r="D121" s="15">
        <v>0.06</v>
      </c>
      <c r="E121" s="35" t="str">
        <f>VLOOKUP(C121,'[1]Codes Sectors Stata'!$C$1:$E$303,3,FALSE)</f>
        <v>Resi</v>
      </c>
      <c r="F121" s="36" t="str">
        <f>VLOOKUP(C121,'[1]Codes Sectors Stata'!$C$1:$E$303,2,FALSE)</f>
        <v>B</v>
      </c>
      <c r="G121" s="26">
        <f>D121*G127</f>
        <v>24000</v>
      </c>
      <c r="H121" s="27">
        <v>345.29</v>
      </c>
      <c r="I121" s="37">
        <f t="shared" si="28"/>
        <v>69.50679139274233</v>
      </c>
      <c r="J121" s="27">
        <f>INDEX('[2]Inputs'!$B$4:$F$430,MATCH(C121,'[2]Inputs'!$B$4:$B$430,0),2)/100</f>
        <v>319.27</v>
      </c>
      <c r="K121" s="38">
        <f t="shared" si="29"/>
        <v>22191.43328796084</v>
      </c>
      <c r="L121" s="30">
        <f t="shared" si="30"/>
        <v>-1808.566712039159</v>
      </c>
      <c r="M121" s="31">
        <f t="shared" si="31"/>
        <v>-0.07535694633496495</v>
      </c>
      <c r="N121" s="31">
        <f t="shared" si="27"/>
        <v>-0.12508635452635208</v>
      </c>
      <c r="O121" s="46"/>
      <c r="P121" s="46"/>
      <c r="Q121" s="46"/>
      <c r="R121" s="46"/>
      <c r="S121" s="46"/>
    </row>
    <row r="122" spans="2:19" ht="15">
      <c r="B122" s="9" t="s">
        <v>10</v>
      </c>
      <c r="C122" s="118" t="s">
        <v>11</v>
      </c>
      <c r="D122" s="15">
        <v>0.15</v>
      </c>
      <c r="E122" s="35" t="str">
        <f>VLOOKUP(C122,'[1]Codes Sectors Stata'!$C$1:$E$303,3,FALSE)</f>
        <v>Indi</v>
      </c>
      <c r="F122" s="36" t="str">
        <f>VLOOKUP(C122,'[1]Codes Sectors Stata'!$C$1:$E$303,2,FALSE)</f>
        <v>A</v>
      </c>
      <c r="G122" s="26">
        <f>D122*G127</f>
        <v>60000</v>
      </c>
      <c r="H122" s="27">
        <v>2715.56</v>
      </c>
      <c r="I122" s="37">
        <f t="shared" si="28"/>
        <v>22.094890188395762</v>
      </c>
      <c r="J122" s="27">
        <f>INDEX('[2]Inputs'!$B$4:$F$430,MATCH(C122,'[2]Inputs'!$B$4:$B$430,0),2)/100</f>
        <v>3451</v>
      </c>
      <c r="K122" s="38">
        <f t="shared" si="29"/>
        <v>76249.46604015377</v>
      </c>
      <c r="L122" s="30">
        <f t="shared" si="30"/>
        <v>16249.46604015377</v>
      </c>
      <c r="M122" s="31">
        <f t="shared" si="31"/>
        <v>0.27082443400256284</v>
      </c>
      <c r="N122" s="31">
        <f t="shared" si="27"/>
        <v>0.5049743674903695</v>
      </c>
      <c r="O122" s="46"/>
      <c r="P122" s="46"/>
      <c r="Q122" s="46"/>
      <c r="R122" s="46"/>
      <c r="S122" s="46"/>
    </row>
    <row r="123" spans="2:19" ht="15">
      <c r="B123" s="11" t="s">
        <v>34</v>
      </c>
      <c r="C123" s="10" t="s">
        <v>35</v>
      </c>
      <c r="D123" s="15">
        <v>0.05</v>
      </c>
      <c r="E123" s="35" t="str">
        <f>VLOOKUP(C123,'[1]Codes Sectors Stata'!$C$1:$E$303,3,FALSE)</f>
        <v>Indi</v>
      </c>
      <c r="F123" s="36" t="str">
        <f>VLOOKUP(C123,'[1]Codes Sectors Stata'!$C$1:$E$303,2,FALSE)</f>
        <v>B</v>
      </c>
      <c r="G123" s="26">
        <f>D123*G127</f>
        <v>20000</v>
      </c>
      <c r="H123" s="27">
        <v>209</v>
      </c>
      <c r="I123" s="37">
        <f t="shared" si="28"/>
        <v>95.69377990430623</v>
      </c>
      <c r="J123" s="27">
        <f>INDEX('[2]Inputs'!$B$4:$F$430,MATCH(C123,'[2]Inputs'!$B$4:$B$430,0),2)/100</f>
        <v>221.19</v>
      </c>
      <c r="K123" s="38">
        <f t="shared" si="29"/>
        <v>21166.507177033494</v>
      </c>
      <c r="L123" s="30">
        <f t="shared" si="30"/>
        <v>1166.5071770334944</v>
      </c>
      <c r="M123" s="31">
        <f t="shared" si="31"/>
        <v>0.05832535885167472</v>
      </c>
      <c r="N123" s="31">
        <f t="shared" si="27"/>
        <v>0.10151571091760592</v>
      </c>
      <c r="O123" s="46"/>
      <c r="P123" s="46"/>
      <c r="Q123" s="46"/>
      <c r="R123" s="46"/>
      <c r="S123" s="46"/>
    </row>
    <row r="124" spans="2:19" ht="15">
      <c r="B124" s="9" t="s">
        <v>36</v>
      </c>
      <c r="C124" s="10" t="s">
        <v>37</v>
      </c>
      <c r="D124" s="15">
        <v>0.05</v>
      </c>
      <c r="E124" s="35" t="str">
        <f>VLOOKUP(C124,'[1]Codes Sectors Stata'!$C$1:$E$303,3,FALSE)</f>
        <v>Fini</v>
      </c>
      <c r="F124" s="36" t="str">
        <f>VLOOKUP(C124,'[1]Codes Sectors Stata'!$C$1:$E$303,2,FALSE)</f>
        <v>B</v>
      </c>
      <c r="G124" s="26">
        <f>D124*G127</f>
        <v>20000</v>
      </c>
      <c r="H124" s="27">
        <v>68.63</v>
      </c>
      <c r="I124" s="37">
        <f t="shared" si="28"/>
        <v>291.4177473408131</v>
      </c>
      <c r="J124" s="27">
        <f>INDEX('[2]Inputs'!$B$4:$F$430,MATCH(C124,'[2]Inputs'!$B$4:$B$430,0),2)/100</f>
        <v>87</v>
      </c>
      <c r="K124" s="38">
        <f t="shared" si="29"/>
        <v>25353.34401865074</v>
      </c>
      <c r="L124" s="30">
        <f t="shared" si="30"/>
        <v>5353.34401865074</v>
      </c>
      <c r="M124" s="31">
        <f t="shared" si="31"/>
        <v>0.267667200932537</v>
      </c>
      <c r="N124" s="31">
        <f t="shared" si="27"/>
        <v>0.498602769597692</v>
      </c>
      <c r="O124" s="46"/>
      <c r="P124" s="46"/>
      <c r="Q124" s="46"/>
      <c r="R124" s="46"/>
      <c r="S124" s="46"/>
    </row>
    <row r="125" spans="2:19" ht="15">
      <c r="B125" s="9" t="s">
        <v>108</v>
      </c>
      <c r="C125" s="10" t="s">
        <v>38</v>
      </c>
      <c r="D125" s="15">
        <v>0.05</v>
      </c>
      <c r="E125" s="35" t="str">
        <f>VLOOKUP(C125,'[1]Codes Sectors Stata'!$C$1:$E$303,3,FALSE)</f>
        <v>Indi</v>
      </c>
      <c r="F125" s="36" t="str">
        <f>VLOOKUP(C125,'[1]Codes Sectors Stata'!$C$1:$E$303,2,FALSE)</f>
        <v>B</v>
      </c>
      <c r="G125" s="26">
        <f>D125*G127</f>
        <v>20000</v>
      </c>
      <c r="H125" s="27">
        <v>384</v>
      </c>
      <c r="I125" s="37">
        <f t="shared" si="28"/>
        <v>52.083333333333336</v>
      </c>
      <c r="J125" s="27">
        <f>INDEX('[2]Inputs'!$B$4:$F$430,MATCH(C125,'[2]Inputs'!$B$4:$B$430,0),2)/100</f>
        <v>460</v>
      </c>
      <c r="K125" s="38">
        <f t="shared" si="29"/>
        <v>23958.333333333336</v>
      </c>
      <c r="L125" s="30">
        <f t="shared" si="30"/>
        <v>3958.3333333333358</v>
      </c>
      <c r="M125" s="31">
        <f t="shared" si="31"/>
        <v>0.1979166666666668</v>
      </c>
      <c r="N125" s="31">
        <f t="shared" si="27"/>
        <v>0.3607082182642267</v>
      </c>
      <c r="O125" s="46"/>
      <c r="P125" s="46"/>
      <c r="Q125" s="46"/>
      <c r="R125" s="46"/>
      <c r="S125" s="46"/>
    </row>
    <row r="126" spans="2:19" ht="15">
      <c r="B126" s="9" t="s">
        <v>39</v>
      </c>
      <c r="C126" s="10" t="s">
        <v>20</v>
      </c>
      <c r="D126" s="15">
        <v>0.06</v>
      </c>
      <c r="E126" s="47" t="str">
        <f>VLOOKUP(C126,'[1]Codes Sectors Stata'!$C$1:$E$303,3,FALSE)</f>
        <v>Indi</v>
      </c>
      <c r="F126" s="48" t="str">
        <f>VLOOKUP(C126,'[1]Codes Sectors Stata'!$C$1:$E$303,2,FALSE)</f>
        <v>B</v>
      </c>
      <c r="G126" s="26">
        <f>D126*G127</f>
        <v>24000</v>
      </c>
      <c r="H126" s="27">
        <v>67.4</v>
      </c>
      <c r="I126" s="37">
        <f t="shared" si="28"/>
        <v>356.08308605341244</v>
      </c>
      <c r="J126" s="27">
        <f>INDEX('[2]Inputs'!$B$4:$F$430,MATCH(C126,'[2]Inputs'!$B$4:$B$430,0),2)/100</f>
        <v>65.31</v>
      </c>
      <c r="K126" s="38">
        <f t="shared" si="29"/>
        <v>23255.786350148366</v>
      </c>
      <c r="L126" s="30">
        <f t="shared" si="30"/>
        <v>-744.2136498516338</v>
      </c>
      <c r="M126" s="31">
        <f t="shared" si="31"/>
        <v>-0.031008902077151408</v>
      </c>
      <c r="N126" s="31">
        <f t="shared" si="27"/>
        <v>-0.05230862781739676</v>
      </c>
      <c r="O126" s="46"/>
      <c r="P126" s="46"/>
      <c r="Q126" s="46"/>
      <c r="R126" s="46"/>
      <c r="S126" s="46"/>
    </row>
    <row r="127" spans="2:19" ht="15">
      <c r="B127" s="12"/>
      <c r="C127" s="13"/>
      <c r="D127" s="14">
        <f>SUM(D111:D126)</f>
        <v>1.0000000000000002</v>
      </c>
      <c r="E127" s="13"/>
      <c r="F127" s="49"/>
      <c r="G127" s="50">
        <v>400000</v>
      </c>
      <c r="H127" s="12"/>
      <c r="I127" s="51"/>
      <c r="J127" s="12"/>
      <c r="K127" s="52">
        <f>SUM(K111:K126)</f>
        <v>454015.0442308269</v>
      </c>
      <c r="L127" s="53">
        <f>SUM(L111:L126)</f>
        <v>54015.044230826876</v>
      </c>
      <c r="M127" s="54">
        <f>L127/G127</f>
        <v>0.1350376105770672</v>
      </c>
      <c r="N127" s="54">
        <f t="shared" si="27"/>
        <v>0.24115464803580444</v>
      </c>
      <c r="O127" s="46"/>
      <c r="P127" s="46"/>
      <c r="Q127" s="46"/>
      <c r="R127" s="46"/>
      <c r="S127" s="46"/>
    </row>
    <row r="128" spans="5:19" ht="15"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5:19" ht="15"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2:19" ht="15">
      <c r="B130" s="1" t="s">
        <v>109</v>
      </c>
      <c r="C130" s="2" t="s">
        <v>0</v>
      </c>
      <c r="D130" s="2" t="s">
        <v>1</v>
      </c>
      <c r="E130" s="55" t="s">
        <v>60</v>
      </c>
      <c r="F130" s="55" t="s">
        <v>61</v>
      </c>
      <c r="G130" s="55"/>
      <c r="H130" s="56">
        <v>42886</v>
      </c>
      <c r="I130" s="2"/>
      <c r="J130" s="123">
        <f>$AC$4</f>
        <v>43100</v>
      </c>
      <c r="K130" s="124"/>
      <c r="L130" s="124"/>
      <c r="M130" s="57" t="s">
        <v>62</v>
      </c>
      <c r="N130" s="57" t="s">
        <v>63</v>
      </c>
      <c r="O130" s="58" t="s">
        <v>64</v>
      </c>
      <c r="P130" s="58" t="s">
        <v>65</v>
      </c>
      <c r="Q130" s="59" t="s">
        <v>66</v>
      </c>
      <c r="R130" s="59" t="s">
        <v>67</v>
      </c>
      <c r="S130" s="60" t="s">
        <v>55</v>
      </c>
    </row>
    <row r="131" spans="2:19" ht="15">
      <c r="B131" s="119" t="s">
        <v>2</v>
      </c>
      <c r="C131" s="4" t="s">
        <v>3</v>
      </c>
      <c r="D131" s="16" t="s">
        <v>4</v>
      </c>
      <c r="E131" s="16" t="s">
        <v>49</v>
      </c>
      <c r="F131" s="5" t="s">
        <v>50</v>
      </c>
      <c r="G131" s="16" t="s">
        <v>51</v>
      </c>
      <c r="H131" s="16" t="s">
        <v>52</v>
      </c>
      <c r="I131" s="16" t="s">
        <v>53</v>
      </c>
      <c r="J131" s="17" t="s">
        <v>52</v>
      </c>
      <c r="K131" s="17" t="s">
        <v>54</v>
      </c>
      <c r="L131" s="18" t="s">
        <v>55</v>
      </c>
      <c r="M131" s="16" t="s">
        <v>55</v>
      </c>
      <c r="N131" s="16" t="s">
        <v>55</v>
      </c>
      <c r="O131" s="19" t="s">
        <v>56</v>
      </c>
      <c r="P131" s="20">
        <v>0.53</v>
      </c>
      <c r="Q131" s="21">
        <f>$AD$7</f>
        <v>0.16249199231262001</v>
      </c>
      <c r="R131" s="22">
        <f>SUMIF(E132:E147,O131,G132:G147)/G148</f>
        <v>0.715</v>
      </c>
      <c r="S131" s="23">
        <f>SUMIF(E132:E147,O131,L132:L147)/SUMIF(E132:E147,O131,G132:G147)</f>
        <v>0.0284632182537289</v>
      </c>
    </row>
    <row r="132" spans="2:19" ht="15">
      <c r="B132" s="9" t="s">
        <v>110</v>
      </c>
      <c r="C132" s="120" t="s">
        <v>24</v>
      </c>
      <c r="D132" s="15">
        <v>0.037</v>
      </c>
      <c r="E132" s="24" t="str">
        <f>VLOOKUP(C132,'[1]Codes Sectors Stata'!$C$1:$E$303,3,FALSE)</f>
        <v>Indi</v>
      </c>
      <c r="F132" s="25" t="str">
        <f>VLOOKUP(C132,'[1]Codes Sectors Stata'!$C$1:$E$303,2,FALSE)</f>
        <v>C</v>
      </c>
      <c r="G132" s="26">
        <f>D132*G148</f>
        <v>14800</v>
      </c>
      <c r="H132" s="27">
        <v>98.66</v>
      </c>
      <c r="I132" s="28">
        <f>G132/H132</f>
        <v>150.01013581998785</v>
      </c>
      <c r="J132" s="27">
        <f>INDEX('[2]Inputs'!$B$4:$F$430,MATCH(C132,'[2]Inputs'!$B$4:$B$430,0),2)/100</f>
        <v>110.56</v>
      </c>
      <c r="K132" s="29">
        <f>I132*J132</f>
        <v>16585.120616257856</v>
      </c>
      <c r="L132" s="30">
        <f>K132-G132</f>
        <v>1785.1206162578565</v>
      </c>
      <c r="M132" s="31">
        <f>L132/G132</f>
        <v>0.12061625785526058</v>
      </c>
      <c r="N132" s="31">
        <f aca="true" t="shared" si="32" ref="N132:N148">(1+M132)^(365/$AC$3)-1</f>
        <v>0.21437855875962586</v>
      </c>
      <c r="O132" s="32" t="s">
        <v>57</v>
      </c>
      <c r="P132" s="33">
        <v>0.25</v>
      </c>
      <c r="Q132" s="21">
        <f>$AD$8</f>
        <v>0.11093478707316629</v>
      </c>
      <c r="R132" s="22">
        <f>SUMIF(E132:E147,O132,G132:G147)/G148</f>
        <v>0.285</v>
      </c>
      <c r="S132" s="34">
        <f>SUMIF(E132:E147,O132,L132:L147)/SUMIF(E132:E147,O132,G132:G147)</f>
        <v>0.3552530793554706</v>
      </c>
    </row>
    <row r="133" spans="2:19" ht="15">
      <c r="B133" s="9" t="s">
        <v>111</v>
      </c>
      <c r="C133" s="120" t="s">
        <v>5</v>
      </c>
      <c r="D133" s="15">
        <v>0.097</v>
      </c>
      <c r="E133" s="35" t="str">
        <f>VLOOKUP(C133,'[1]Codes Sectors Stata'!$C$1:$E$303,3,FALSE)</f>
        <v>Indi</v>
      </c>
      <c r="F133" s="36" t="str">
        <f>VLOOKUP(C133,'[1]Codes Sectors Stata'!$C$1:$E$303,2,FALSE)</f>
        <v>A</v>
      </c>
      <c r="G133" s="26">
        <f>D133*G148</f>
        <v>38800</v>
      </c>
      <c r="H133" s="27">
        <v>944.13</v>
      </c>
      <c r="I133" s="37">
        <f aca="true" t="shared" si="33" ref="I133:I147">G133/H133</f>
        <v>41.09603550358531</v>
      </c>
      <c r="J133" s="27">
        <f>INDEX('[2]Inputs'!$B$4:$F$430,MATCH(C133,'[2]Inputs'!$B$4:$B$430,0),2)/100</f>
        <v>829.5</v>
      </c>
      <c r="K133" s="38">
        <f aca="true" t="shared" si="34" ref="K133:K147">I133*J133</f>
        <v>34089.16145022402</v>
      </c>
      <c r="L133" s="30">
        <f aca="true" t="shared" si="35" ref="L133:L147">K133-G133</f>
        <v>-4710.838549775981</v>
      </c>
      <c r="M133" s="31">
        <f aca="true" t="shared" si="36" ref="M133:M147">L133/G133</f>
        <v>-0.12141336468494797</v>
      </c>
      <c r="N133" s="31">
        <f t="shared" si="32"/>
        <v>-0.19810301432733268</v>
      </c>
      <c r="O133" s="32" t="s">
        <v>58</v>
      </c>
      <c r="P133" s="39">
        <v>0.22</v>
      </c>
      <c r="Q133" s="21">
        <f>$AD$9</f>
        <v>0</v>
      </c>
      <c r="R133" s="22">
        <f>SUMIF(E132:E147,O133,G132:G147)/G148</f>
        <v>0</v>
      </c>
      <c r="S133" s="40" t="e">
        <f>SUMIF(E132:E147,O133,L132:L147)/SUMIF(E132:E147,O133,G132:G147)</f>
        <v>#DIV/0!</v>
      </c>
    </row>
    <row r="134" spans="2:19" ht="15">
      <c r="B134" s="9" t="s">
        <v>112</v>
      </c>
      <c r="C134" s="120" t="s">
        <v>23</v>
      </c>
      <c r="D134" s="15">
        <v>0.077</v>
      </c>
      <c r="E134" s="35" t="str">
        <f>VLOOKUP(C134,'[1]Codes Sectors Stata'!$C$1:$E$303,3,FALSE)</f>
        <v>Indi</v>
      </c>
      <c r="F134" s="36" t="str">
        <f>VLOOKUP(C134,'[1]Codes Sectors Stata'!$C$1:$E$303,2,FALSE)</f>
        <v>A</v>
      </c>
      <c r="G134" s="26">
        <f>D134*G148</f>
        <v>30800</v>
      </c>
      <c r="H134" s="27">
        <v>110.61</v>
      </c>
      <c r="I134" s="37">
        <f t="shared" si="33"/>
        <v>278.45583581954617</v>
      </c>
      <c r="J134" s="27">
        <f>INDEX('[2]Inputs'!$B$4:$F$430,MATCH(C134,'[2]Inputs'!$B$4:$B$430,0),2)/100</f>
        <v>111.75</v>
      </c>
      <c r="K134" s="38">
        <f t="shared" si="34"/>
        <v>31117.439652834284</v>
      </c>
      <c r="L134" s="30">
        <f t="shared" si="35"/>
        <v>317.43965283428406</v>
      </c>
      <c r="M134" s="31">
        <f t="shared" si="36"/>
        <v>0.010306482234879353</v>
      </c>
      <c r="N134" s="31">
        <f t="shared" si="32"/>
        <v>0.017642668198353473</v>
      </c>
      <c r="O134" s="41" t="s">
        <v>59</v>
      </c>
      <c r="P134" s="39">
        <v>1</v>
      </c>
      <c r="Q134" s="42">
        <f>$AD$10</f>
        <v>0</v>
      </c>
      <c r="R134" s="43">
        <f>R131+R132+R133</f>
        <v>1</v>
      </c>
      <c r="S134" s="44">
        <f>L148/G148</f>
        <v>0.1215983286677253</v>
      </c>
    </row>
    <row r="135" spans="2:19" ht="15">
      <c r="B135" s="9" t="s">
        <v>113</v>
      </c>
      <c r="C135" s="120" t="s">
        <v>27</v>
      </c>
      <c r="D135" s="15">
        <v>0.037</v>
      </c>
      <c r="E135" s="35" t="str">
        <f>VLOOKUP(C135,'[1]Codes Sectors Stata'!$C$1:$E$303,3,FALSE)</f>
        <v>Indi</v>
      </c>
      <c r="F135" s="36" t="str">
        <f>VLOOKUP(C135,'[1]Codes Sectors Stata'!$C$1:$E$303,2,FALSE)</f>
        <v>B</v>
      </c>
      <c r="G135" s="26">
        <f>D135*G148</f>
        <v>14800</v>
      </c>
      <c r="H135" s="27">
        <v>136.22</v>
      </c>
      <c r="I135" s="37">
        <f t="shared" si="33"/>
        <v>108.6477756570254</v>
      </c>
      <c r="J135" s="27">
        <f>INDEX('[2]Inputs'!$B$4:$F$430,MATCH(C135,'[2]Inputs'!$B$4:$B$430,0),2)/100</f>
        <v>181.13</v>
      </c>
      <c r="K135" s="38">
        <f t="shared" si="34"/>
        <v>19679.371604757012</v>
      </c>
      <c r="L135" s="30">
        <f t="shared" si="35"/>
        <v>4879.371604757012</v>
      </c>
      <c r="M135" s="31">
        <f t="shared" si="36"/>
        <v>0.32968727059169</v>
      </c>
      <c r="N135" s="31">
        <f t="shared" si="32"/>
        <v>0.6258036397354236</v>
      </c>
      <c r="O135" s="45"/>
      <c r="P135" s="45"/>
      <c r="Q135" s="45"/>
      <c r="R135" s="45"/>
      <c r="S135" s="45"/>
    </row>
    <row r="136" spans="2:19" ht="15">
      <c r="B136" s="11" t="s">
        <v>114</v>
      </c>
      <c r="C136" s="120" t="s">
        <v>29</v>
      </c>
      <c r="D136" s="15">
        <v>0.057</v>
      </c>
      <c r="E136" s="35" t="str">
        <f>VLOOKUP(C136,'[1]Codes Sectors Stata'!$C$1:$E$303,3,FALSE)</f>
        <v>Fini</v>
      </c>
      <c r="F136" s="36" t="str">
        <f>VLOOKUP(C136,'[1]Codes Sectors Stata'!$C$1:$E$303,2,FALSE)</f>
        <v>C</v>
      </c>
      <c r="G136" s="26">
        <f>D136*G148</f>
        <v>22800</v>
      </c>
      <c r="H136" s="27">
        <v>778.78</v>
      </c>
      <c r="I136" s="37">
        <f t="shared" si="33"/>
        <v>29.2765607745448</v>
      </c>
      <c r="J136" s="27">
        <f>INDEX('[2]Inputs'!$B$4:$F$430,MATCH(C136,'[2]Inputs'!$B$4:$B$430,0),2)/100</f>
        <v>1097.96</v>
      </c>
      <c r="K136" s="38">
        <f t="shared" si="34"/>
        <v>32144.49266801921</v>
      </c>
      <c r="L136" s="30">
        <f t="shared" si="35"/>
        <v>9344.492668019211</v>
      </c>
      <c r="M136" s="31">
        <f t="shared" si="36"/>
        <v>0.4098461696499654</v>
      </c>
      <c r="N136" s="31">
        <f t="shared" si="32"/>
        <v>0.7965049403645135</v>
      </c>
      <c r="O136" s="45"/>
      <c r="P136" s="45"/>
      <c r="Q136" s="45"/>
      <c r="R136" s="45"/>
      <c r="S136" s="45"/>
    </row>
    <row r="137" spans="2:19" ht="15">
      <c r="B137" s="9" t="s">
        <v>115</v>
      </c>
      <c r="C137" s="120" t="s">
        <v>19</v>
      </c>
      <c r="D137" s="15">
        <v>0.037</v>
      </c>
      <c r="E137" s="35" t="str">
        <f>VLOOKUP(C137,'[1]Codes Sectors Stata'!$C$1:$E$303,3,FALSE)</f>
        <v>Fini</v>
      </c>
      <c r="F137" s="36" t="str">
        <f>VLOOKUP(C137,'[1]Codes Sectors Stata'!$C$1:$E$303,2,FALSE)</f>
        <v>B</v>
      </c>
      <c r="G137" s="26">
        <f>D137*G148</f>
        <v>14800</v>
      </c>
      <c r="H137" s="27">
        <v>128.12</v>
      </c>
      <c r="I137" s="37">
        <f t="shared" si="33"/>
        <v>115.51670309085232</v>
      </c>
      <c r="J137" s="27">
        <f>INDEX('[2]Inputs'!$B$4:$F$430,MATCH(C137,'[2]Inputs'!$B$4:$B$430,0),2)/100</f>
        <v>186</v>
      </c>
      <c r="K137" s="38">
        <f t="shared" si="34"/>
        <v>21486.10677489853</v>
      </c>
      <c r="L137" s="30">
        <f t="shared" si="35"/>
        <v>6686.10677489853</v>
      </c>
      <c r="M137" s="31">
        <f t="shared" si="36"/>
        <v>0.4517639712769277</v>
      </c>
      <c r="N137" s="31">
        <f t="shared" si="32"/>
        <v>0.8885611535888487</v>
      </c>
      <c r="O137" s="45"/>
      <c r="P137" s="45"/>
      <c r="Q137" s="45"/>
      <c r="R137" s="45"/>
      <c r="S137" s="45"/>
    </row>
    <row r="138" spans="2:19" ht="15">
      <c r="B138" s="9" t="s">
        <v>116</v>
      </c>
      <c r="C138" s="120" t="s">
        <v>31</v>
      </c>
      <c r="D138" s="15">
        <v>0.037</v>
      </c>
      <c r="E138" s="35" t="str">
        <f>VLOOKUP(C138,'[1]Codes Sectors Stata'!$C$1:$E$303,3,FALSE)</f>
        <v>Indi</v>
      </c>
      <c r="F138" s="36" t="str">
        <f>VLOOKUP(C138,'[1]Codes Sectors Stata'!$C$1:$E$303,2,FALSE)</f>
        <v>C</v>
      </c>
      <c r="G138" s="26">
        <f>D138*G148</f>
        <v>14800</v>
      </c>
      <c r="H138" s="27">
        <v>125.75</v>
      </c>
      <c r="I138" s="37">
        <f t="shared" si="33"/>
        <v>117.69383697813122</v>
      </c>
      <c r="J138" s="27">
        <f>INDEX('[2]Inputs'!$B$4:$F$430,MATCH(C138,'[2]Inputs'!$B$4:$B$430,0),2)/100</f>
        <v>67.44</v>
      </c>
      <c r="K138" s="38">
        <f t="shared" si="34"/>
        <v>7937.272365805169</v>
      </c>
      <c r="L138" s="30">
        <f t="shared" si="35"/>
        <v>-6862.727634194831</v>
      </c>
      <c r="M138" s="31">
        <f t="shared" si="36"/>
        <v>-0.46369781312127234</v>
      </c>
      <c r="N138" s="31">
        <f t="shared" si="32"/>
        <v>-0.6544754294327066</v>
      </c>
      <c r="O138" s="45"/>
      <c r="P138" s="45"/>
      <c r="Q138" s="45"/>
      <c r="R138" s="45"/>
      <c r="S138" s="45"/>
    </row>
    <row r="139" spans="2:19" ht="15">
      <c r="B139" s="9" t="s">
        <v>117</v>
      </c>
      <c r="C139" s="120" t="s">
        <v>33</v>
      </c>
      <c r="D139" s="15">
        <v>0.035</v>
      </c>
      <c r="E139" s="35" t="str">
        <f>VLOOKUP(C139,'[1]Codes Sectors Stata'!$C$1:$E$303,3,FALSE)</f>
        <v>Indi</v>
      </c>
      <c r="F139" s="36" t="str">
        <f>VLOOKUP(C139,'[1]Codes Sectors Stata'!$C$1:$E$303,2,FALSE)</f>
        <v>C</v>
      </c>
      <c r="G139" s="26">
        <f>D139*G148</f>
        <v>14000.000000000002</v>
      </c>
      <c r="H139" s="27">
        <v>134.11</v>
      </c>
      <c r="I139" s="37">
        <f t="shared" si="33"/>
        <v>104.39191708299158</v>
      </c>
      <c r="J139" s="27">
        <f>INDEX('[2]Inputs'!$B$4:$F$430,MATCH(C139,'[2]Inputs'!$B$4:$B$430,0),2)/100</f>
        <v>102.99</v>
      </c>
      <c r="K139" s="38">
        <f t="shared" si="34"/>
        <v>10751.323540377303</v>
      </c>
      <c r="L139" s="30">
        <f t="shared" si="35"/>
        <v>-3248.6764596226985</v>
      </c>
      <c r="M139" s="31">
        <f t="shared" si="36"/>
        <v>-0.23204831854447844</v>
      </c>
      <c r="N139" s="31">
        <f t="shared" si="32"/>
        <v>-0.36258154243317176</v>
      </c>
      <c r="O139" s="45"/>
      <c r="P139" s="45"/>
      <c r="Q139" s="45"/>
      <c r="R139" s="45"/>
      <c r="S139" s="45"/>
    </row>
    <row r="140" spans="2:19" ht="15">
      <c r="B140" s="9" t="s">
        <v>40</v>
      </c>
      <c r="C140" s="120" t="s">
        <v>41</v>
      </c>
      <c r="D140" s="15">
        <v>0.097</v>
      </c>
      <c r="E140" s="35" t="str">
        <f>VLOOKUP(C140,'[1]Codes Sectors Stata'!$C$1:$E$303,3,FALSE)</f>
        <v>Fini</v>
      </c>
      <c r="F140" s="36" t="str">
        <f>VLOOKUP(C140,'[1]Codes Sectors Stata'!$C$1:$E$303,2,FALSE)</f>
        <v>B</v>
      </c>
      <c r="G140" s="26">
        <f>D140*G148</f>
        <v>38800</v>
      </c>
      <c r="H140" s="27">
        <v>49.31</v>
      </c>
      <c r="I140" s="37">
        <f t="shared" si="33"/>
        <v>786.8586493611843</v>
      </c>
      <c r="J140" s="27">
        <f>INDEX('[2]Inputs'!$B$4:$F$430,MATCH(C140,'[2]Inputs'!$B$4:$B$430,0),2)/100</f>
        <v>67.25</v>
      </c>
      <c r="K140" s="38">
        <f t="shared" si="34"/>
        <v>52916.24416953965</v>
      </c>
      <c r="L140" s="30">
        <f t="shared" si="35"/>
        <v>14116.244169539648</v>
      </c>
      <c r="M140" s="31">
        <f t="shared" si="36"/>
        <v>0.3638207260190631</v>
      </c>
      <c r="N140" s="31">
        <f t="shared" si="32"/>
        <v>0.6976299743273777</v>
      </c>
      <c r="O140" s="46"/>
      <c r="P140" s="46"/>
      <c r="Q140" s="46"/>
      <c r="R140" s="46"/>
      <c r="S140" s="46"/>
    </row>
    <row r="141" spans="2:19" ht="15">
      <c r="B141" s="9" t="s">
        <v>8</v>
      </c>
      <c r="C141" s="120" t="s">
        <v>9</v>
      </c>
      <c r="D141" s="15">
        <v>0.057</v>
      </c>
      <c r="E141" s="35" t="str">
        <f>VLOOKUP(C141,'[1]Codes Sectors Stata'!$C$1:$E$303,3,FALSE)</f>
        <v>Indi</v>
      </c>
      <c r="F141" s="36" t="str">
        <f>VLOOKUP(C141,'[1]Codes Sectors Stata'!$C$1:$E$303,2,FALSE)</f>
        <v>B</v>
      </c>
      <c r="G141" s="26">
        <f>D141*G148</f>
        <v>22800</v>
      </c>
      <c r="H141" s="27">
        <v>136</v>
      </c>
      <c r="I141" s="37">
        <f t="shared" si="33"/>
        <v>167.64705882352942</v>
      </c>
      <c r="J141" s="27">
        <f>INDEX('[2]Inputs'!$B$4:$F$430,MATCH(C141,'[2]Inputs'!$B$4:$B$430,0),2)/100</f>
        <v>106.38</v>
      </c>
      <c r="K141" s="38">
        <f t="shared" si="34"/>
        <v>17834.29411764706</v>
      </c>
      <c r="L141" s="30">
        <f t="shared" si="35"/>
        <v>-4965.7058823529405</v>
      </c>
      <c r="M141" s="31">
        <f t="shared" si="36"/>
        <v>-0.2177941176470588</v>
      </c>
      <c r="N141" s="31">
        <f t="shared" si="32"/>
        <v>-0.3422700283509209</v>
      </c>
      <c r="O141" s="46"/>
      <c r="P141" s="46"/>
      <c r="Q141" s="46"/>
      <c r="R141" s="46"/>
      <c r="S141" s="46"/>
    </row>
    <row r="142" spans="2:19" ht="15">
      <c r="B142" s="9" t="s">
        <v>10</v>
      </c>
      <c r="C142" s="120" t="s">
        <v>11</v>
      </c>
      <c r="D142" s="15">
        <v>0.147</v>
      </c>
      <c r="E142" s="35" t="str">
        <f>VLOOKUP(C142,'[1]Codes Sectors Stata'!$C$1:$E$303,3,FALSE)</f>
        <v>Indi</v>
      </c>
      <c r="F142" s="36" t="str">
        <f>VLOOKUP(C142,'[1]Codes Sectors Stata'!$C$1:$E$303,2,FALSE)</f>
        <v>A</v>
      </c>
      <c r="G142" s="26">
        <f>D142*G148</f>
        <v>58800</v>
      </c>
      <c r="H142" s="27">
        <v>2715.56</v>
      </c>
      <c r="I142" s="37">
        <f t="shared" si="33"/>
        <v>21.652992384627847</v>
      </c>
      <c r="J142" s="27">
        <f>INDEX('[2]Inputs'!$B$4:$F$430,MATCH(C142,'[2]Inputs'!$B$4:$B$430,0),2)/100</f>
        <v>3451</v>
      </c>
      <c r="K142" s="38">
        <f t="shared" si="34"/>
        <v>74724.4767193507</v>
      </c>
      <c r="L142" s="30">
        <f t="shared" si="35"/>
        <v>15924.4767193507</v>
      </c>
      <c r="M142" s="31">
        <f t="shared" si="36"/>
        <v>0.2708244340025629</v>
      </c>
      <c r="N142" s="31">
        <f t="shared" si="32"/>
        <v>0.5049743674903695</v>
      </c>
      <c r="O142" s="46"/>
      <c r="P142" s="46"/>
      <c r="Q142" s="46"/>
      <c r="R142" s="46"/>
      <c r="S142" s="46"/>
    </row>
    <row r="143" spans="2:19" ht="15">
      <c r="B143" s="9" t="s">
        <v>118</v>
      </c>
      <c r="C143" s="120" t="s">
        <v>94</v>
      </c>
      <c r="D143" s="15">
        <v>0.037</v>
      </c>
      <c r="E143" s="35" t="str">
        <f>VLOOKUP(C143,'[1]Codes Sectors Stata'!$C$1:$E$303,3,FALSE)</f>
        <v>Fini</v>
      </c>
      <c r="F143" s="36" t="str">
        <f>VLOOKUP(C143,'[1]Codes Sectors Stata'!$C$1:$E$303,2,FALSE)</f>
        <v>B</v>
      </c>
      <c r="G143" s="26">
        <f>D143*G148</f>
        <v>14800</v>
      </c>
      <c r="H143" s="27">
        <v>61.51</v>
      </c>
      <c r="I143" s="37">
        <f t="shared" si="33"/>
        <v>240.6112827182572</v>
      </c>
      <c r="J143" s="27">
        <f>INDEX('[2]Inputs'!$B$4:$F$430,MATCH(C143,'[2]Inputs'!$B$4:$B$430,0),2)/100</f>
        <v>79.17</v>
      </c>
      <c r="K143" s="38">
        <f t="shared" si="34"/>
        <v>19049.195252804424</v>
      </c>
      <c r="L143" s="30">
        <f t="shared" si="35"/>
        <v>4249.195252804424</v>
      </c>
      <c r="M143" s="31">
        <f t="shared" si="36"/>
        <v>0.28710778735165027</v>
      </c>
      <c r="N143" s="31">
        <f t="shared" si="32"/>
        <v>0.538013060943062</v>
      </c>
      <c r="O143" s="46"/>
      <c r="P143" s="46"/>
      <c r="Q143" s="46"/>
      <c r="R143" s="46"/>
      <c r="S143" s="46"/>
    </row>
    <row r="144" spans="2:19" ht="15">
      <c r="B144" s="9" t="s">
        <v>119</v>
      </c>
      <c r="C144" s="120" t="s">
        <v>35</v>
      </c>
      <c r="D144" s="15">
        <v>0.097</v>
      </c>
      <c r="E144" s="35" t="str">
        <f>VLOOKUP(C144,'[1]Codes Sectors Stata'!$C$1:$E$303,3,FALSE)</f>
        <v>Indi</v>
      </c>
      <c r="F144" s="36" t="str">
        <f>VLOOKUP(C144,'[1]Codes Sectors Stata'!$C$1:$E$303,2,FALSE)</f>
        <v>B</v>
      </c>
      <c r="G144" s="26">
        <f>D144*G148</f>
        <v>38800</v>
      </c>
      <c r="H144" s="27">
        <v>209</v>
      </c>
      <c r="I144" s="37">
        <f t="shared" si="33"/>
        <v>185.64593301435406</v>
      </c>
      <c r="J144" s="27">
        <f>INDEX('[2]Inputs'!$B$4:$F$430,MATCH(C144,'[2]Inputs'!$B$4:$B$430,0),2)/100</f>
        <v>221.19</v>
      </c>
      <c r="K144" s="38">
        <f t="shared" si="34"/>
        <v>41063.02392344498</v>
      </c>
      <c r="L144" s="30">
        <f t="shared" si="35"/>
        <v>2263.0239234449764</v>
      </c>
      <c r="M144" s="31">
        <f t="shared" si="36"/>
        <v>0.05832535885167465</v>
      </c>
      <c r="N144" s="31">
        <f t="shared" si="32"/>
        <v>0.10151571091760547</v>
      </c>
      <c r="O144" s="46"/>
      <c r="P144" s="46"/>
      <c r="Q144" s="46"/>
      <c r="R144" s="46"/>
      <c r="S144" s="46"/>
    </row>
    <row r="145" spans="2:19" ht="15">
      <c r="B145" s="9" t="s">
        <v>120</v>
      </c>
      <c r="C145" s="120" t="s">
        <v>37</v>
      </c>
      <c r="D145" s="15">
        <v>0.057</v>
      </c>
      <c r="E145" s="35" t="str">
        <f>VLOOKUP(C145,'[1]Codes Sectors Stata'!$C$1:$E$303,3,FALSE)</f>
        <v>Fini</v>
      </c>
      <c r="F145" s="36" t="str">
        <f>VLOOKUP(C145,'[1]Codes Sectors Stata'!$C$1:$E$303,2,FALSE)</f>
        <v>B</v>
      </c>
      <c r="G145" s="26">
        <f>D145*G148</f>
        <v>22800</v>
      </c>
      <c r="H145" s="27">
        <v>68.63</v>
      </c>
      <c r="I145" s="37">
        <f t="shared" si="33"/>
        <v>332.2162319685269</v>
      </c>
      <c r="J145" s="27">
        <f>INDEX('[2]Inputs'!$B$4:$F$430,MATCH(C145,'[2]Inputs'!$B$4:$B$430,0),2)/100</f>
        <v>87</v>
      </c>
      <c r="K145" s="38">
        <f t="shared" si="34"/>
        <v>28902.81218126184</v>
      </c>
      <c r="L145" s="30">
        <f t="shared" si="35"/>
        <v>6102.812181261841</v>
      </c>
      <c r="M145" s="31">
        <f t="shared" si="36"/>
        <v>0.2676672009325369</v>
      </c>
      <c r="N145" s="31">
        <f t="shared" si="32"/>
        <v>0.498602769597692</v>
      </c>
      <c r="O145" s="46"/>
      <c r="P145" s="46"/>
      <c r="Q145" s="46"/>
      <c r="R145" s="46"/>
      <c r="S145" s="46"/>
    </row>
    <row r="146" spans="2:19" ht="15">
      <c r="B146" s="9" t="s">
        <v>121</v>
      </c>
      <c r="C146" s="120" t="s">
        <v>38</v>
      </c>
      <c r="D146" s="15">
        <v>0.057</v>
      </c>
      <c r="E146" s="35" t="str">
        <f>VLOOKUP(C146,'[1]Codes Sectors Stata'!$C$1:$E$303,3,FALSE)</f>
        <v>Indi</v>
      </c>
      <c r="F146" s="36" t="str">
        <f>VLOOKUP(C146,'[1]Codes Sectors Stata'!$C$1:$E$303,2,FALSE)</f>
        <v>B</v>
      </c>
      <c r="G146" s="26">
        <f>D146*G148</f>
        <v>22800</v>
      </c>
      <c r="H146" s="27">
        <v>384</v>
      </c>
      <c r="I146" s="37">
        <f t="shared" si="33"/>
        <v>59.375</v>
      </c>
      <c r="J146" s="27">
        <f>INDEX('[2]Inputs'!$B$4:$F$430,MATCH(C146,'[2]Inputs'!$B$4:$B$430,0),2)/100</f>
        <v>460</v>
      </c>
      <c r="K146" s="38">
        <f t="shared" si="34"/>
        <v>27312.5</v>
      </c>
      <c r="L146" s="30">
        <f t="shared" si="35"/>
        <v>4512.5</v>
      </c>
      <c r="M146" s="31">
        <f t="shared" si="36"/>
        <v>0.19791666666666666</v>
      </c>
      <c r="N146" s="31">
        <f t="shared" si="32"/>
        <v>0.3607082182642267</v>
      </c>
      <c r="O146" s="46"/>
      <c r="P146" s="46"/>
      <c r="Q146" s="46"/>
      <c r="R146" s="46"/>
      <c r="S146" s="46"/>
    </row>
    <row r="147" spans="2:19" ht="15">
      <c r="B147" s="121" t="s">
        <v>122</v>
      </c>
      <c r="C147" s="120" t="s">
        <v>46</v>
      </c>
      <c r="D147" s="15">
        <v>0.037</v>
      </c>
      <c r="E147" s="47" t="str">
        <f>VLOOKUP(C147,'[1]Codes Sectors Stata'!$C$1:$E$303,3,FALSE)</f>
        <v>Indi</v>
      </c>
      <c r="F147" s="48" t="str">
        <f>VLOOKUP(C147,'[1]Codes Sectors Stata'!$C$1:$E$303,2,FALSE)</f>
        <v>B</v>
      </c>
      <c r="G147" s="26">
        <f>D147*G148</f>
        <v>14800</v>
      </c>
      <c r="H147" s="27">
        <v>165.26</v>
      </c>
      <c r="I147" s="37">
        <f t="shared" si="33"/>
        <v>89.55585138569528</v>
      </c>
      <c r="J147" s="27">
        <f>INDEX('[2]Inputs'!$B$4:$F$430,MATCH(C147,'[2]Inputs'!$B$4:$B$430,0),2)/100</f>
        <v>145.68</v>
      </c>
      <c r="K147" s="38">
        <f t="shared" si="34"/>
        <v>13046.496429868088</v>
      </c>
      <c r="L147" s="30">
        <f t="shared" si="35"/>
        <v>-1753.503570131912</v>
      </c>
      <c r="M147" s="31">
        <f t="shared" si="36"/>
        <v>-0.11847997095485892</v>
      </c>
      <c r="N147" s="31">
        <f t="shared" si="32"/>
        <v>-0.19353113732143123</v>
      </c>
      <c r="O147" s="46"/>
      <c r="P147" s="46"/>
      <c r="Q147" s="46"/>
      <c r="R147" s="46"/>
      <c r="S147" s="46"/>
    </row>
    <row r="148" spans="2:19" ht="15">
      <c r="B148" s="122"/>
      <c r="C148" s="13"/>
      <c r="D148" s="14">
        <f>SUM(D132:D147)</f>
        <v>1.0000000000000002</v>
      </c>
      <c r="E148" s="13"/>
      <c r="F148" s="49"/>
      <c r="G148" s="50">
        <v>400000</v>
      </c>
      <c r="H148" s="12"/>
      <c r="I148" s="51"/>
      <c r="J148" s="12"/>
      <c r="K148" s="52">
        <f>SUM(K132:K147)</f>
        <v>448639.3314670901</v>
      </c>
      <c r="L148" s="53">
        <f>SUM(L132:L147)</f>
        <v>48639.331467090116</v>
      </c>
      <c r="M148" s="54">
        <f>L148/G148</f>
        <v>0.1215983286677253</v>
      </c>
      <c r="N148" s="54">
        <f t="shared" si="32"/>
        <v>0.2161942973001736</v>
      </c>
      <c r="O148" s="46"/>
      <c r="P148" s="46"/>
      <c r="Q148" s="46"/>
      <c r="R148" s="46"/>
      <c r="S148" s="46"/>
    </row>
    <row r="149" spans="5:19" ht="15"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5:19" ht="15"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2:19" ht="15">
      <c r="B151" s="1" t="s">
        <v>123</v>
      </c>
      <c r="C151" s="2" t="s">
        <v>0</v>
      </c>
      <c r="D151" s="2" t="s">
        <v>1</v>
      </c>
      <c r="E151" s="55" t="s">
        <v>60</v>
      </c>
      <c r="F151" s="55" t="s">
        <v>61</v>
      </c>
      <c r="G151" s="55"/>
      <c r="H151" s="56">
        <f>$AB$4</f>
        <v>42886</v>
      </c>
      <c r="I151" s="2"/>
      <c r="J151" s="123">
        <f>$AC$4</f>
        <v>43100</v>
      </c>
      <c r="K151" s="124"/>
      <c r="L151" s="124"/>
      <c r="M151" s="57" t="s">
        <v>62</v>
      </c>
      <c r="N151" s="57" t="s">
        <v>63</v>
      </c>
      <c r="O151" s="58" t="s">
        <v>64</v>
      </c>
      <c r="P151" s="58" t="s">
        <v>65</v>
      </c>
      <c r="Q151" s="59" t="s">
        <v>66</v>
      </c>
      <c r="R151" s="59" t="s">
        <v>67</v>
      </c>
      <c r="S151" s="60" t="s">
        <v>55</v>
      </c>
    </row>
    <row r="152" spans="2:19" ht="15">
      <c r="B152" s="119" t="s">
        <v>2</v>
      </c>
      <c r="C152" s="4" t="s">
        <v>3</v>
      </c>
      <c r="D152" s="16" t="s">
        <v>4</v>
      </c>
      <c r="E152" s="16" t="s">
        <v>49</v>
      </c>
      <c r="F152" s="5" t="s">
        <v>50</v>
      </c>
      <c r="G152" s="16" t="s">
        <v>51</v>
      </c>
      <c r="H152" s="16" t="s">
        <v>52</v>
      </c>
      <c r="I152" s="16" t="s">
        <v>53</v>
      </c>
      <c r="J152" s="17" t="s">
        <v>52</v>
      </c>
      <c r="K152" s="17" t="s">
        <v>54</v>
      </c>
      <c r="L152" s="18" t="s">
        <v>55</v>
      </c>
      <c r="M152" s="16" t="s">
        <v>55</v>
      </c>
      <c r="N152" s="16" t="s">
        <v>55</v>
      </c>
      <c r="O152" s="19" t="s">
        <v>56</v>
      </c>
      <c r="P152" s="20">
        <v>0.53</v>
      </c>
      <c r="Q152" s="21">
        <f>$AD$7</f>
        <v>0.16249199231262001</v>
      </c>
      <c r="R152" s="22">
        <f>SUMIF(E153:E168,O152,G153:G168)/G169</f>
        <v>0.74</v>
      </c>
      <c r="S152" s="23">
        <f>SUMIF(E153:E168,O152,L153:L168)/SUMIF(E153:E168,O152,G153:G168)</f>
        <v>0.05936634819733898</v>
      </c>
    </row>
    <row r="153" spans="2:19" ht="15">
      <c r="B153" s="9" t="s">
        <v>24</v>
      </c>
      <c r="C153" s="120" t="s">
        <v>24</v>
      </c>
      <c r="D153" s="15">
        <v>0.05</v>
      </c>
      <c r="E153" s="24" t="str">
        <f>VLOOKUP(C153,'[1]Codes Sectors Stata'!$C$1:$E$303,3,FALSE)</f>
        <v>Indi</v>
      </c>
      <c r="F153" s="25" t="str">
        <f>VLOOKUP(C153,'[1]Codes Sectors Stata'!$C$1:$E$303,2,FALSE)</f>
        <v>C</v>
      </c>
      <c r="G153" s="26">
        <f>D153*G169</f>
        <v>20000</v>
      </c>
      <c r="H153" s="27">
        <v>98.66</v>
      </c>
      <c r="I153" s="28">
        <f>G153/H153</f>
        <v>202.71639975674032</v>
      </c>
      <c r="J153" s="27">
        <f>INDEX('[2]Inputs'!$B$4:$F$430,MATCH(C153,'[2]Inputs'!$B$4:$B$430,0),2)/100</f>
        <v>110.56</v>
      </c>
      <c r="K153" s="29">
        <f>I153*J153</f>
        <v>22412.32515710521</v>
      </c>
      <c r="L153" s="30">
        <f>K153-G153</f>
        <v>2412.3251571052097</v>
      </c>
      <c r="M153" s="31">
        <f>L153/G153</f>
        <v>0.12061625785526048</v>
      </c>
      <c r="N153" s="31">
        <f aca="true" t="shared" si="37" ref="N153:N169">(1+M153)^(365/$AC$3)-1</f>
        <v>0.21437855875962586</v>
      </c>
      <c r="O153" s="32" t="s">
        <v>57</v>
      </c>
      <c r="P153" s="33">
        <v>0.25</v>
      </c>
      <c r="Q153" s="21">
        <f>$AD$8</f>
        <v>0.11093478707316629</v>
      </c>
      <c r="R153" s="22">
        <f>SUMIF(E153:E168,O153,G153:G168)/G169</f>
        <v>0.22</v>
      </c>
      <c r="S153" s="34">
        <f>SUMIF(E153:E168,O153,L153:L168)/SUMIF(E153:E168,O153,G153:G168)</f>
        <v>0.3765992126678362</v>
      </c>
    </row>
    <row r="154" spans="2:19" ht="15">
      <c r="B154" s="9" t="s">
        <v>6</v>
      </c>
      <c r="C154" s="120" t="s">
        <v>7</v>
      </c>
      <c r="D154" s="15">
        <v>0.06</v>
      </c>
      <c r="E154" s="35" t="str">
        <f>VLOOKUP(C154,'[1]Codes Sectors Stata'!$C$1:$E$303,3,FALSE)</f>
        <v>Indi</v>
      </c>
      <c r="F154" s="36" t="str">
        <f>VLOOKUP(C154,'[1]Codes Sectors Stata'!$C$1:$E$303,2,FALSE)</f>
        <v>B</v>
      </c>
      <c r="G154" s="26">
        <f>D154*G169</f>
        <v>24000</v>
      </c>
      <c r="H154" s="27">
        <v>299.66</v>
      </c>
      <c r="I154" s="37">
        <f aca="true" t="shared" si="38" ref="I154:I168">G154/H154</f>
        <v>80.09076953881065</v>
      </c>
      <c r="J154" s="27">
        <f>INDEX('[2]Inputs'!$B$4:$F$430,MATCH(C154,'[2]Inputs'!$B$4:$B$430,0),2)/100</f>
        <v>300.99</v>
      </c>
      <c r="K154" s="38">
        <f aca="true" t="shared" si="39" ref="K154:K168">I154*J154</f>
        <v>24106.520723486617</v>
      </c>
      <c r="L154" s="30">
        <f aca="true" t="shared" si="40" ref="L154:L168">K154-G154</f>
        <v>106.5207234866175</v>
      </c>
      <c r="M154" s="31">
        <f aca="true" t="shared" si="41" ref="M154:M168">L154/G154</f>
        <v>0.004438363478609063</v>
      </c>
      <c r="N154" s="31">
        <f t="shared" si="37"/>
        <v>0.0075819545887969575</v>
      </c>
      <c r="O154" s="32" t="s">
        <v>58</v>
      </c>
      <c r="P154" s="39">
        <v>0.22</v>
      </c>
      <c r="Q154" s="21">
        <f>$AD$9</f>
        <v>0</v>
      </c>
      <c r="R154" s="22">
        <f>SUMIF(E153:E168,O154,G153:G168)/G169</f>
        <v>0.04</v>
      </c>
      <c r="S154" s="40">
        <f>SUMIF(E153:E168,O154,L153:L168)/SUMIF(E153:E168,O154,G153:G168)</f>
        <v>-0.07535694633496495</v>
      </c>
    </row>
    <row r="155" spans="2:19" ht="15">
      <c r="B155" s="9" t="s">
        <v>25</v>
      </c>
      <c r="C155" s="120" t="s">
        <v>5</v>
      </c>
      <c r="D155" s="15">
        <v>0.1</v>
      </c>
      <c r="E155" s="35" t="str">
        <f>VLOOKUP(C155,'[1]Codes Sectors Stata'!$C$1:$E$303,3,FALSE)</f>
        <v>Indi</v>
      </c>
      <c r="F155" s="36" t="str">
        <f>VLOOKUP(C155,'[1]Codes Sectors Stata'!$C$1:$E$303,2,FALSE)</f>
        <v>A</v>
      </c>
      <c r="G155" s="26">
        <f>D155*G169</f>
        <v>40000</v>
      </c>
      <c r="H155" s="27">
        <v>944.13</v>
      </c>
      <c r="I155" s="37">
        <f t="shared" si="38"/>
        <v>42.36704691091269</v>
      </c>
      <c r="J155" s="27">
        <f>INDEX('[2]Inputs'!$B$4:$F$430,MATCH(C155,'[2]Inputs'!$B$4:$B$430,0),2)/100</f>
        <v>829.5</v>
      </c>
      <c r="K155" s="38">
        <f t="shared" si="39"/>
        <v>35143.465412602076</v>
      </c>
      <c r="L155" s="30">
        <f t="shared" si="40"/>
        <v>-4856.534587397924</v>
      </c>
      <c r="M155" s="31">
        <f t="shared" si="41"/>
        <v>-0.12141336468494811</v>
      </c>
      <c r="N155" s="31">
        <f t="shared" si="37"/>
        <v>-0.1981030143273328</v>
      </c>
      <c r="O155" s="41" t="s">
        <v>59</v>
      </c>
      <c r="P155" s="39">
        <v>1</v>
      </c>
      <c r="Q155" s="42">
        <f>$AD$10</f>
        <v>0</v>
      </c>
      <c r="R155" s="43">
        <f>R152+R153+R154</f>
        <v>1</v>
      </c>
      <c r="S155" s="44">
        <f>L169/G169</f>
        <v>0.12376864659955623</v>
      </c>
    </row>
    <row r="156" spans="2:19" ht="15">
      <c r="B156" s="9" t="s">
        <v>22</v>
      </c>
      <c r="C156" s="120" t="s">
        <v>23</v>
      </c>
      <c r="D156" s="15">
        <v>0.09</v>
      </c>
      <c r="E156" s="35" t="str">
        <f>VLOOKUP(C156,'[1]Codes Sectors Stata'!$C$1:$E$303,3,FALSE)</f>
        <v>Indi</v>
      </c>
      <c r="F156" s="36" t="str">
        <f>VLOOKUP(C156,'[1]Codes Sectors Stata'!$C$1:$E$303,2,FALSE)</f>
        <v>A</v>
      </c>
      <c r="G156" s="26">
        <f>D156*G169</f>
        <v>36000</v>
      </c>
      <c r="H156" s="27">
        <v>110.61</v>
      </c>
      <c r="I156" s="37">
        <f t="shared" si="38"/>
        <v>325.46786004882017</v>
      </c>
      <c r="J156" s="27">
        <f>INDEX('[2]Inputs'!$B$4:$F$430,MATCH(C156,'[2]Inputs'!$B$4:$B$430,0),2)/100</f>
        <v>111.75</v>
      </c>
      <c r="K156" s="38">
        <f t="shared" si="39"/>
        <v>36371.03336045565</v>
      </c>
      <c r="L156" s="30">
        <f t="shared" si="40"/>
        <v>371.03336045565084</v>
      </c>
      <c r="M156" s="31">
        <f t="shared" si="41"/>
        <v>0.01030648223487919</v>
      </c>
      <c r="N156" s="31">
        <f t="shared" si="37"/>
        <v>0.017642668198353473</v>
      </c>
      <c r="O156" s="45"/>
      <c r="P156" s="45"/>
      <c r="Q156" s="45"/>
      <c r="R156" s="45"/>
      <c r="S156" s="45"/>
    </row>
    <row r="157" spans="2:19" ht="15">
      <c r="B157" s="9" t="s">
        <v>26</v>
      </c>
      <c r="C157" s="120" t="s">
        <v>27</v>
      </c>
      <c r="D157" s="15">
        <v>0.05</v>
      </c>
      <c r="E157" s="35" t="str">
        <f>VLOOKUP(C157,'[1]Codes Sectors Stata'!$C$1:$E$303,3,FALSE)</f>
        <v>Indi</v>
      </c>
      <c r="F157" s="36" t="str">
        <f>VLOOKUP(C157,'[1]Codes Sectors Stata'!$C$1:$E$303,2,FALSE)</f>
        <v>B</v>
      </c>
      <c r="G157" s="26">
        <f>D157*G169</f>
        <v>20000</v>
      </c>
      <c r="H157" s="27">
        <v>136.22</v>
      </c>
      <c r="I157" s="37">
        <f t="shared" si="38"/>
        <v>146.82131845543972</v>
      </c>
      <c r="J157" s="27">
        <f>INDEX('[2]Inputs'!$B$4:$F$430,MATCH(C157,'[2]Inputs'!$B$4:$B$430,0),2)/100</f>
        <v>181.13</v>
      </c>
      <c r="K157" s="38">
        <f t="shared" si="39"/>
        <v>26593.745411833796</v>
      </c>
      <c r="L157" s="30">
        <f t="shared" si="40"/>
        <v>6593.7454118337955</v>
      </c>
      <c r="M157" s="31">
        <f t="shared" si="41"/>
        <v>0.3296872705916898</v>
      </c>
      <c r="N157" s="31">
        <f t="shared" si="37"/>
        <v>0.625803639735423</v>
      </c>
      <c r="O157" s="45"/>
      <c r="P157" s="45"/>
      <c r="Q157" s="45"/>
      <c r="R157" s="45"/>
      <c r="S157" s="45"/>
    </row>
    <row r="158" spans="2:19" ht="15">
      <c r="B158" s="9" t="s">
        <v>28</v>
      </c>
      <c r="C158" s="120" t="s">
        <v>29</v>
      </c>
      <c r="D158" s="15">
        <v>0.07</v>
      </c>
      <c r="E158" s="35" t="str">
        <f>VLOOKUP(C158,'[1]Codes Sectors Stata'!$C$1:$E$303,3,FALSE)</f>
        <v>Fini</v>
      </c>
      <c r="F158" s="36" t="str">
        <f>VLOOKUP(C158,'[1]Codes Sectors Stata'!$C$1:$E$303,2,FALSE)</f>
        <v>C</v>
      </c>
      <c r="G158" s="26">
        <f>D158*G169</f>
        <v>28000.000000000004</v>
      </c>
      <c r="H158" s="27">
        <v>778.78</v>
      </c>
      <c r="I158" s="37">
        <f t="shared" si="38"/>
        <v>35.95367112663397</v>
      </c>
      <c r="J158" s="27">
        <f>INDEX('[2]Inputs'!$B$4:$F$430,MATCH(C158,'[2]Inputs'!$B$4:$B$430,0),2)/100</f>
        <v>1097.96</v>
      </c>
      <c r="K158" s="38">
        <f t="shared" si="39"/>
        <v>39475.692750199036</v>
      </c>
      <c r="L158" s="30">
        <f t="shared" si="40"/>
        <v>11475.692750199032</v>
      </c>
      <c r="M158" s="31">
        <f t="shared" si="41"/>
        <v>0.4098461696499654</v>
      </c>
      <c r="N158" s="31">
        <f t="shared" si="37"/>
        <v>0.7965049403645135</v>
      </c>
      <c r="O158" s="45"/>
      <c r="P158" s="45"/>
      <c r="Q158" s="45"/>
      <c r="R158" s="45"/>
      <c r="S158" s="45"/>
    </row>
    <row r="159" spans="2:19" ht="15">
      <c r="B159" s="9" t="s">
        <v>30</v>
      </c>
      <c r="C159" s="120" t="s">
        <v>19</v>
      </c>
      <c r="D159" s="15">
        <v>0.05</v>
      </c>
      <c r="E159" s="35" t="str">
        <f>VLOOKUP(C159,'[1]Codes Sectors Stata'!$C$1:$E$303,3,FALSE)</f>
        <v>Fini</v>
      </c>
      <c r="F159" s="36" t="str">
        <f>VLOOKUP(C159,'[1]Codes Sectors Stata'!$C$1:$E$303,2,FALSE)</f>
        <v>B</v>
      </c>
      <c r="G159" s="26">
        <f>D159*G169</f>
        <v>20000</v>
      </c>
      <c r="H159" s="27">
        <v>128.12</v>
      </c>
      <c r="I159" s="37">
        <f t="shared" si="38"/>
        <v>156.1036528254761</v>
      </c>
      <c r="J159" s="27">
        <f>INDEX('[2]Inputs'!$B$4:$F$430,MATCH(C159,'[2]Inputs'!$B$4:$B$430,0),2)/100</f>
        <v>186</v>
      </c>
      <c r="K159" s="38">
        <f t="shared" si="39"/>
        <v>29035.279425538556</v>
      </c>
      <c r="L159" s="30">
        <f t="shared" si="40"/>
        <v>9035.279425538556</v>
      </c>
      <c r="M159" s="31">
        <f t="shared" si="41"/>
        <v>0.4517639712769278</v>
      </c>
      <c r="N159" s="31">
        <f t="shared" si="37"/>
        <v>0.8885611535888489</v>
      </c>
      <c r="O159" s="45"/>
      <c r="P159" s="45"/>
      <c r="Q159" s="45"/>
      <c r="R159" s="45"/>
      <c r="S159" s="45"/>
    </row>
    <row r="160" spans="2:19" ht="15">
      <c r="B160" s="9" t="s">
        <v>10</v>
      </c>
      <c r="C160" s="120" t="s">
        <v>11</v>
      </c>
      <c r="D160" s="15">
        <v>0.14</v>
      </c>
      <c r="E160" s="35" t="str">
        <f>VLOOKUP(C160,'[1]Codes Sectors Stata'!$C$1:$E$303,3,FALSE)</f>
        <v>Indi</v>
      </c>
      <c r="F160" s="36" t="str">
        <f>VLOOKUP(C160,'[1]Codes Sectors Stata'!$C$1:$E$303,2,FALSE)</f>
        <v>A</v>
      </c>
      <c r="G160" s="26">
        <f>D160*G169</f>
        <v>56000.00000000001</v>
      </c>
      <c r="H160" s="27">
        <v>2715.56</v>
      </c>
      <c r="I160" s="37">
        <f t="shared" si="38"/>
        <v>20.621897509169383</v>
      </c>
      <c r="J160" s="27">
        <f>INDEX('[2]Inputs'!$B$4:$F$430,MATCH(C160,'[2]Inputs'!$B$4:$B$430,0),2)/100</f>
        <v>3451</v>
      </c>
      <c r="K160" s="38">
        <f t="shared" si="39"/>
        <v>71166.16830414355</v>
      </c>
      <c r="L160" s="30">
        <f t="shared" si="40"/>
        <v>15166.168304143539</v>
      </c>
      <c r="M160" s="31">
        <f t="shared" si="41"/>
        <v>0.2708244340025632</v>
      </c>
      <c r="N160" s="31">
        <f t="shared" si="37"/>
        <v>0.50497436749037</v>
      </c>
      <c r="O160" s="45"/>
      <c r="P160" s="45"/>
      <c r="Q160" s="45"/>
      <c r="R160" s="45"/>
      <c r="S160" s="45"/>
    </row>
    <row r="161" spans="2:19" ht="15">
      <c r="B161" s="11" t="s">
        <v>40</v>
      </c>
      <c r="C161" s="120" t="s">
        <v>41</v>
      </c>
      <c r="D161" s="15">
        <v>0.05</v>
      </c>
      <c r="E161" s="35" t="str">
        <f>VLOOKUP(C161,'[1]Codes Sectors Stata'!$C$1:$E$303,3,FALSE)</f>
        <v>Fini</v>
      </c>
      <c r="F161" s="36" t="str">
        <f>VLOOKUP(C161,'[1]Codes Sectors Stata'!$C$1:$E$303,2,FALSE)</f>
        <v>B</v>
      </c>
      <c r="G161" s="26">
        <f>D161*G169</f>
        <v>20000</v>
      </c>
      <c r="H161" s="27">
        <v>49.31</v>
      </c>
      <c r="I161" s="37">
        <f t="shared" si="38"/>
        <v>405.5972419387548</v>
      </c>
      <c r="J161" s="27">
        <f>INDEX('[2]Inputs'!$B$4:$F$430,MATCH(C161,'[2]Inputs'!$B$4:$B$430,0),2)/100</f>
        <v>67.25</v>
      </c>
      <c r="K161" s="38">
        <f t="shared" si="39"/>
        <v>27276.41452038126</v>
      </c>
      <c r="L161" s="30">
        <f t="shared" si="40"/>
        <v>7276.414520381259</v>
      </c>
      <c r="M161" s="31">
        <f t="shared" si="41"/>
        <v>0.36382072601906296</v>
      </c>
      <c r="N161" s="31">
        <f t="shared" si="37"/>
        <v>0.6976299743273773</v>
      </c>
      <c r="O161" s="46"/>
      <c r="P161" s="46"/>
      <c r="Q161" s="46"/>
      <c r="R161" s="46"/>
      <c r="S161" s="46"/>
    </row>
    <row r="162" spans="2:19" ht="15">
      <c r="B162" s="9" t="s">
        <v>8</v>
      </c>
      <c r="C162" s="120" t="s">
        <v>9</v>
      </c>
      <c r="D162" s="15">
        <v>0.05</v>
      </c>
      <c r="E162" s="35" t="str">
        <f>VLOOKUP(C162,'[1]Codes Sectors Stata'!$C$1:$E$303,3,FALSE)</f>
        <v>Indi</v>
      </c>
      <c r="F162" s="36" t="str">
        <f>VLOOKUP(C162,'[1]Codes Sectors Stata'!$C$1:$E$303,2,FALSE)</f>
        <v>B</v>
      </c>
      <c r="G162" s="26">
        <f>D162*G169</f>
        <v>20000</v>
      </c>
      <c r="H162" s="27">
        <v>136</v>
      </c>
      <c r="I162" s="37">
        <f t="shared" si="38"/>
        <v>147.05882352941177</v>
      </c>
      <c r="J162" s="27">
        <f>INDEX('[2]Inputs'!$B$4:$F$430,MATCH(C162,'[2]Inputs'!$B$4:$B$430,0),2)/100</f>
        <v>106.38</v>
      </c>
      <c r="K162" s="38">
        <f t="shared" si="39"/>
        <v>15644.117647058823</v>
      </c>
      <c r="L162" s="30">
        <f t="shared" si="40"/>
        <v>-4355.882352941177</v>
      </c>
      <c r="M162" s="31">
        <f t="shared" si="41"/>
        <v>-0.21779411764705883</v>
      </c>
      <c r="N162" s="31">
        <f t="shared" si="37"/>
        <v>-0.3422700283509209</v>
      </c>
      <c r="O162" s="46"/>
      <c r="P162" s="46"/>
      <c r="Q162" s="46"/>
      <c r="R162" s="46"/>
      <c r="S162" s="46"/>
    </row>
    <row r="163" spans="2:19" ht="15">
      <c r="B163" s="9" t="s">
        <v>42</v>
      </c>
      <c r="C163" s="120" t="s">
        <v>43</v>
      </c>
      <c r="D163" s="15">
        <v>0.04</v>
      </c>
      <c r="E163" s="35" t="str">
        <f>VLOOKUP(C163,'[1]Codes Sectors Stata'!$C$1:$E$303,3,FALSE)</f>
        <v>Resi</v>
      </c>
      <c r="F163" s="36" t="str">
        <f>VLOOKUP(C163,'[1]Codes Sectors Stata'!$C$1:$E$303,2,FALSE)</f>
        <v>B</v>
      </c>
      <c r="G163" s="26">
        <f>D163*G169</f>
        <v>16000</v>
      </c>
      <c r="H163" s="27">
        <v>345.29</v>
      </c>
      <c r="I163" s="37">
        <f t="shared" si="38"/>
        <v>46.337860928494884</v>
      </c>
      <c r="J163" s="27">
        <f>INDEX('[2]Inputs'!$B$4:$F$430,MATCH(C163,'[2]Inputs'!$B$4:$B$430,0),2)/100</f>
        <v>319.27</v>
      </c>
      <c r="K163" s="38">
        <f t="shared" si="39"/>
        <v>14794.28885864056</v>
      </c>
      <c r="L163" s="30">
        <f t="shared" si="40"/>
        <v>-1205.7111413594394</v>
      </c>
      <c r="M163" s="31">
        <f t="shared" si="41"/>
        <v>-0.07535694633496495</v>
      </c>
      <c r="N163" s="31">
        <f t="shared" si="37"/>
        <v>-0.12508635452635208</v>
      </c>
      <c r="O163" s="46"/>
      <c r="P163" s="46"/>
      <c r="Q163" s="46"/>
      <c r="R163" s="46"/>
      <c r="S163" s="46"/>
    </row>
    <row r="164" spans="2:19" ht="15">
      <c r="B164" s="9" t="s">
        <v>34</v>
      </c>
      <c r="C164" s="120" t="s">
        <v>35</v>
      </c>
      <c r="D164" s="15">
        <v>0.05</v>
      </c>
      <c r="E164" s="35" t="str">
        <f>VLOOKUP(C164,'[1]Codes Sectors Stata'!$C$1:$E$303,3,FALSE)</f>
        <v>Indi</v>
      </c>
      <c r="F164" s="36" t="str">
        <f>VLOOKUP(C164,'[1]Codes Sectors Stata'!$C$1:$E$303,2,FALSE)</f>
        <v>B</v>
      </c>
      <c r="G164" s="26">
        <f>D164*G169</f>
        <v>20000</v>
      </c>
      <c r="H164" s="27">
        <v>209</v>
      </c>
      <c r="I164" s="37">
        <f t="shared" si="38"/>
        <v>95.69377990430623</v>
      </c>
      <c r="J164" s="27">
        <f>INDEX('[2]Inputs'!$B$4:$F$430,MATCH(C164,'[2]Inputs'!$B$4:$B$430,0),2)/100</f>
        <v>221.19</v>
      </c>
      <c r="K164" s="38">
        <f t="shared" si="39"/>
        <v>21166.507177033494</v>
      </c>
      <c r="L164" s="30">
        <f t="shared" si="40"/>
        <v>1166.5071770334944</v>
      </c>
      <c r="M164" s="31">
        <f t="shared" si="41"/>
        <v>0.05832535885167472</v>
      </c>
      <c r="N164" s="31">
        <f t="shared" si="37"/>
        <v>0.10151571091760592</v>
      </c>
      <c r="O164" s="46"/>
      <c r="P164" s="46"/>
      <c r="Q164" s="46"/>
      <c r="R164" s="46"/>
      <c r="S164" s="46"/>
    </row>
    <row r="165" spans="2:19" ht="15">
      <c r="B165" s="9" t="s">
        <v>36</v>
      </c>
      <c r="C165" s="120" t="s">
        <v>37</v>
      </c>
      <c r="D165" s="15">
        <v>0.05</v>
      </c>
      <c r="E165" s="35" t="str">
        <f>VLOOKUP(C165,'[1]Codes Sectors Stata'!$C$1:$E$303,3,FALSE)</f>
        <v>Fini</v>
      </c>
      <c r="F165" s="36" t="str">
        <f>VLOOKUP(C165,'[1]Codes Sectors Stata'!$C$1:$E$303,2,FALSE)</f>
        <v>B</v>
      </c>
      <c r="G165" s="26">
        <f>D165*G169</f>
        <v>20000</v>
      </c>
      <c r="H165" s="27">
        <v>68.63</v>
      </c>
      <c r="I165" s="37">
        <f t="shared" si="38"/>
        <v>291.4177473408131</v>
      </c>
      <c r="J165" s="27">
        <f>INDEX('[2]Inputs'!$B$4:$F$430,MATCH(C165,'[2]Inputs'!$B$4:$B$430,0),2)/100</f>
        <v>87</v>
      </c>
      <c r="K165" s="38">
        <f t="shared" si="39"/>
        <v>25353.34401865074</v>
      </c>
      <c r="L165" s="30">
        <f t="shared" si="40"/>
        <v>5353.34401865074</v>
      </c>
      <c r="M165" s="31">
        <f t="shared" si="41"/>
        <v>0.267667200932537</v>
      </c>
      <c r="N165" s="31">
        <f t="shared" si="37"/>
        <v>0.498602769597692</v>
      </c>
      <c r="O165" s="46"/>
      <c r="P165" s="46"/>
      <c r="Q165" s="46"/>
      <c r="R165" s="46"/>
      <c r="S165" s="46"/>
    </row>
    <row r="166" spans="2:19" ht="15">
      <c r="B166" s="9" t="s">
        <v>48</v>
      </c>
      <c r="C166" s="120" t="s">
        <v>38</v>
      </c>
      <c r="D166" s="15">
        <v>0.05</v>
      </c>
      <c r="E166" s="35" t="str">
        <f>VLOOKUP(C166,'[1]Codes Sectors Stata'!$C$1:$E$303,3,FALSE)</f>
        <v>Indi</v>
      </c>
      <c r="F166" s="36" t="str">
        <f>VLOOKUP(C166,'[1]Codes Sectors Stata'!$C$1:$E$303,2,FALSE)</f>
        <v>B</v>
      </c>
      <c r="G166" s="26">
        <f>D166*G169</f>
        <v>20000</v>
      </c>
      <c r="H166" s="27">
        <v>384</v>
      </c>
      <c r="I166" s="37">
        <f t="shared" si="38"/>
        <v>52.083333333333336</v>
      </c>
      <c r="J166" s="27">
        <f>INDEX('[2]Inputs'!$B$4:$F$430,MATCH(C166,'[2]Inputs'!$B$4:$B$430,0),2)/100</f>
        <v>460</v>
      </c>
      <c r="K166" s="38">
        <f t="shared" si="39"/>
        <v>23958.333333333336</v>
      </c>
      <c r="L166" s="30">
        <f t="shared" si="40"/>
        <v>3958.3333333333358</v>
      </c>
      <c r="M166" s="31">
        <f t="shared" si="41"/>
        <v>0.1979166666666668</v>
      </c>
      <c r="N166" s="31">
        <f t="shared" si="37"/>
        <v>0.3607082182642267</v>
      </c>
      <c r="O166" s="46"/>
      <c r="P166" s="46"/>
      <c r="Q166" s="46"/>
      <c r="R166" s="46"/>
      <c r="S166" s="46"/>
    </row>
    <row r="167" spans="2:19" ht="15">
      <c r="B167" s="9" t="s">
        <v>45</v>
      </c>
      <c r="C167" s="120" t="s">
        <v>46</v>
      </c>
      <c r="D167" s="15">
        <v>0.05</v>
      </c>
      <c r="E167" s="35" t="str">
        <f>VLOOKUP(C167,'[1]Codes Sectors Stata'!$C$1:$E$303,3,FALSE)</f>
        <v>Indi</v>
      </c>
      <c r="F167" s="36" t="str">
        <f>VLOOKUP(C167,'[1]Codes Sectors Stata'!$C$1:$E$303,2,FALSE)</f>
        <v>B</v>
      </c>
      <c r="G167" s="26">
        <f>D167*G169</f>
        <v>20000</v>
      </c>
      <c r="H167" s="27">
        <v>165.26</v>
      </c>
      <c r="I167" s="37">
        <f t="shared" si="38"/>
        <v>121.0214207914801</v>
      </c>
      <c r="J167" s="27">
        <f>INDEX('[2]Inputs'!$B$4:$F$430,MATCH(C167,'[2]Inputs'!$B$4:$B$430,0),2)/100</f>
        <v>145.68</v>
      </c>
      <c r="K167" s="38">
        <f t="shared" si="39"/>
        <v>17630.40058090282</v>
      </c>
      <c r="L167" s="30">
        <f t="shared" si="40"/>
        <v>-2369.5994190971796</v>
      </c>
      <c r="M167" s="31">
        <f t="shared" si="41"/>
        <v>-0.11847997095485899</v>
      </c>
      <c r="N167" s="31">
        <f t="shared" si="37"/>
        <v>-0.19353113732143123</v>
      </c>
      <c r="O167" s="46"/>
      <c r="P167" s="46"/>
      <c r="Q167" s="46"/>
      <c r="R167" s="46"/>
      <c r="S167" s="46"/>
    </row>
    <row r="168" spans="2:19" ht="15">
      <c r="B168" s="121" t="s">
        <v>39</v>
      </c>
      <c r="C168" s="120" t="s">
        <v>20</v>
      </c>
      <c r="D168" s="15">
        <v>0.05</v>
      </c>
      <c r="E168" s="47" t="str">
        <f>VLOOKUP(C168,'[1]Codes Sectors Stata'!$C$1:$E$303,3,FALSE)</f>
        <v>Indi</v>
      </c>
      <c r="F168" s="48" t="str">
        <f>VLOOKUP(C168,'[1]Codes Sectors Stata'!$C$1:$E$303,2,FALSE)</f>
        <v>B</v>
      </c>
      <c r="G168" s="26">
        <f>D168*G169</f>
        <v>20000</v>
      </c>
      <c r="H168" s="27">
        <v>67.4</v>
      </c>
      <c r="I168" s="37">
        <f t="shared" si="38"/>
        <v>296.7359050445104</v>
      </c>
      <c r="J168" s="27">
        <f>INDEX('[2]Inputs'!$B$4:$F$430,MATCH(C168,'[2]Inputs'!$B$4:$B$430,0),2)/100</f>
        <v>65.31</v>
      </c>
      <c r="K168" s="38">
        <f t="shared" si="39"/>
        <v>19379.821958456974</v>
      </c>
      <c r="L168" s="30">
        <f t="shared" si="40"/>
        <v>-620.1780415430258</v>
      </c>
      <c r="M168" s="31">
        <f t="shared" si="41"/>
        <v>-0.031008902077151287</v>
      </c>
      <c r="N168" s="31">
        <f t="shared" si="37"/>
        <v>-0.052308627817396314</v>
      </c>
      <c r="O168" s="46"/>
      <c r="P168" s="46"/>
      <c r="Q168" s="46"/>
      <c r="R168" s="46"/>
      <c r="S168" s="46"/>
    </row>
    <row r="169" spans="2:19" ht="15">
      <c r="B169" s="122"/>
      <c r="C169" s="13"/>
      <c r="D169" s="14">
        <f>SUM(D153:D168)</f>
        <v>1.0000000000000004</v>
      </c>
      <c r="E169" s="13"/>
      <c r="F169" s="49"/>
      <c r="G169" s="50">
        <v>400000</v>
      </c>
      <c r="H169" s="12"/>
      <c r="I169" s="51"/>
      <c r="J169" s="12"/>
      <c r="K169" s="52">
        <f>SUM(K153:K168)</f>
        <v>449507.45863982243</v>
      </c>
      <c r="L169" s="53">
        <f>SUM(L153:L168)</f>
        <v>49507.45863982249</v>
      </c>
      <c r="M169" s="54">
        <f>L169/G169</f>
        <v>0.12376864659955623</v>
      </c>
      <c r="N169" s="54">
        <f t="shared" si="37"/>
        <v>0.22021095097222743</v>
      </c>
      <c r="O169" s="46"/>
      <c r="P169" s="46"/>
      <c r="Q169" s="46"/>
      <c r="R169" s="46"/>
      <c r="S169" s="46"/>
    </row>
  </sheetData>
  <sheetProtection/>
  <mergeCells count="8">
    <mergeCell ref="J130:L130"/>
    <mergeCell ref="J151:L151"/>
    <mergeCell ref="J4:L4"/>
    <mergeCell ref="J25:L25"/>
    <mergeCell ref="J46:L46"/>
    <mergeCell ref="J67:L67"/>
    <mergeCell ref="J88:L88"/>
    <mergeCell ref="J109:L109"/>
  </mergeCells>
  <conditionalFormatting sqref="S5:S8 L6:M22">
    <cfRule type="cellIs" priority="155" dxfId="0" operator="greaterThanOrEqual" stopIfTrue="1">
      <formula>0</formula>
    </cfRule>
    <cfRule type="cellIs" priority="156" dxfId="1" operator="lessThan" stopIfTrue="1">
      <formula>0</formula>
    </cfRule>
  </conditionalFormatting>
  <conditionalFormatting sqref="R5:R7">
    <cfRule type="cellIs" priority="157" dxfId="1" operator="lessThan" stopIfTrue="1">
      <formula>#REF!</formula>
    </cfRule>
    <cfRule type="cellIs" priority="158" dxfId="0" operator="greaterThanOrEqual" stopIfTrue="1">
      <formula>#REF!</formula>
    </cfRule>
  </conditionalFormatting>
  <conditionalFormatting sqref="N6">
    <cfRule type="cellIs" priority="153" dxfId="0" operator="greaterThanOrEqual" stopIfTrue="1">
      <formula>0</formula>
    </cfRule>
    <cfRule type="cellIs" priority="154" dxfId="1" operator="lessThan" stopIfTrue="1">
      <formula>0</formula>
    </cfRule>
  </conditionalFormatting>
  <conditionalFormatting sqref="N22">
    <cfRule type="cellIs" priority="151" dxfId="0" operator="greaterThanOrEqual" stopIfTrue="1">
      <formula>0</formula>
    </cfRule>
    <cfRule type="cellIs" priority="152" dxfId="1" operator="lessThan" stopIfTrue="1">
      <formula>0</formula>
    </cfRule>
  </conditionalFormatting>
  <conditionalFormatting sqref="S26:S29 L27:M43">
    <cfRule type="cellIs" priority="147" dxfId="0" operator="greaterThanOrEqual" stopIfTrue="1">
      <formula>0</formula>
    </cfRule>
    <cfRule type="cellIs" priority="148" dxfId="1" operator="lessThan" stopIfTrue="1">
      <formula>0</formula>
    </cfRule>
  </conditionalFormatting>
  <conditionalFormatting sqref="R26:R28">
    <cfRule type="cellIs" priority="149" dxfId="1" operator="lessThan" stopIfTrue="1">
      <formula>#REF!</formula>
    </cfRule>
    <cfRule type="cellIs" priority="150" dxfId="0" operator="greaterThanOrEqual" stopIfTrue="1">
      <formula>#REF!</formula>
    </cfRule>
  </conditionalFormatting>
  <conditionalFormatting sqref="S47:S50 L48:M64">
    <cfRule type="cellIs" priority="139" dxfId="0" operator="greaterThanOrEqual" stopIfTrue="1">
      <formula>0</formula>
    </cfRule>
    <cfRule type="cellIs" priority="140" dxfId="1" operator="lessThan" stopIfTrue="1">
      <formula>0</formula>
    </cfRule>
  </conditionalFormatting>
  <conditionalFormatting sqref="R47:R49">
    <cfRule type="cellIs" priority="141" dxfId="1" operator="lessThan" stopIfTrue="1">
      <formula>#REF!</formula>
    </cfRule>
    <cfRule type="cellIs" priority="142" dxfId="0" operator="greaterThanOrEqual" stopIfTrue="1">
      <formula>#REF!</formula>
    </cfRule>
  </conditionalFormatting>
  <conditionalFormatting sqref="S68:S71 L69:M85">
    <cfRule type="cellIs" priority="131" dxfId="0" operator="greaterThanOrEqual" stopIfTrue="1">
      <formula>0</formula>
    </cfRule>
    <cfRule type="cellIs" priority="132" dxfId="1" operator="lessThan" stopIfTrue="1">
      <formula>0</formula>
    </cfRule>
  </conditionalFormatting>
  <conditionalFormatting sqref="R68:R70">
    <cfRule type="cellIs" priority="133" dxfId="1" operator="lessThan" stopIfTrue="1">
      <formula>#REF!</formula>
    </cfRule>
    <cfRule type="cellIs" priority="134" dxfId="0" operator="greaterThanOrEqual" stopIfTrue="1">
      <formula>#REF!</formula>
    </cfRule>
  </conditionalFormatting>
  <conditionalFormatting sqref="S89:S92 L90:M106">
    <cfRule type="cellIs" priority="123" dxfId="0" operator="greaterThanOrEqual" stopIfTrue="1">
      <formula>0</formula>
    </cfRule>
    <cfRule type="cellIs" priority="124" dxfId="1" operator="lessThan" stopIfTrue="1">
      <formula>0</formula>
    </cfRule>
  </conditionalFormatting>
  <conditionalFormatting sqref="R89:R91">
    <cfRule type="cellIs" priority="125" dxfId="1" operator="lessThan" stopIfTrue="1">
      <formula>#REF!</formula>
    </cfRule>
    <cfRule type="cellIs" priority="126" dxfId="0" operator="greaterThanOrEqual" stopIfTrue="1">
      <formula>#REF!</formula>
    </cfRule>
  </conditionalFormatting>
  <conditionalFormatting sqref="S110:S113 L111:M127">
    <cfRule type="cellIs" priority="115" dxfId="0" operator="greaterThanOrEqual" stopIfTrue="1">
      <formula>0</formula>
    </cfRule>
    <cfRule type="cellIs" priority="116" dxfId="1" operator="lessThan" stopIfTrue="1">
      <formula>0</formula>
    </cfRule>
  </conditionalFormatting>
  <conditionalFormatting sqref="R110:R112">
    <cfRule type="cellIs" priority="117" dxfId="1" operator="lessThan" stopIfTrue="1">
      <formula>#REF!</formula>
    </cfRule>
    <cfRule type="cellIs" priority="118" dxfId="0" operator="greaterThanOrEqual" stopIfTrue="1">
      <formula>#REF!</formula>
    </cfRule>
  </conditionalFormatting>
  <conditionalFormatting sqref="S131:S134 L132:M148">
    <cfRule type="cellIs" priority="107" dxfId="0" operator="greaterThanOrEqual" stopIfTrue="1">
      <formula>0</formula>
    </cfRule>
    <cfRule type="cellIs" priority="108" dxfId="1" operator="lessThan" stopIfTrue="1">
      <formula>0</formula>
    </cfRule>
  </conditionalFormatting>
  <conditionalFormatting sqref="R131:R133">
    <cfRule type="cellIs" priority="109" dxfId="1" operator="lessThan" stopIfTrue="1">
      <formula>#REF!</formula>
    </cfRule>
    <cfRule type="cellIs" priority="110" dxfId="0" operator="greaterThanOrEqual" stopIfTrue="1">
      <formula>#REF!</formula>
    </cfRule>
  </conditionalFormatting>
  <conditionalFormatting sqref="S152:S155 L153:M169">
    <cfRule type="cellIs" priority="99" dxfId="0" operator="greaterThanOrEqual" stopIfTrue="1">
      <formula>0</formula>
    </cfRule>
    <cfRule type="cellIs" priority="100" dxfId="1" operator="lessThan" stopIfTrue="1">
      <formula>0</formula>
    </cfRule>
  </conditionalFormatting>
  <conditionalFormatting sqref="R152:R154">
    <cfRule type="cellIs" priority="101" dxfId="1" operator="lessThan" stopIfTrue="1">
      <formula>#REF!</formula>
    </cfRule>
    <cfRule type="cellIs" priority="102" dxfId="0" operator="greaterThanOrEqual" stopIfTrue="1">
      <formula>#REF!</formula>
    </cfRule>
  </conditionalFormatting>
  <conditionalFormatting sqref="AH4">
    <cfRule type="cellIs" priority="93" dxfId="0" operator="greaterThanOrEqual" stopIfTrue="1">
      <formula>0</formula>
    </cfRule>
    <cfRule type="cellIs" priority="94" dxfId="1" operator="lessThan" stopIfTrue="1">
      <formula>0</formula>
    </cfRule>
  </conditionalFormatting>
  <conditionalFormatting sqref="AD5:AD8">
    <cfRule type="cellIs" priority="91" dxfId="0" operator="greaterThanOrEqual" stopIfTrue="1">
      <formula>0</formula>
    </cfRule>
    <cfRule type="cellIs" priority="92" dxfId="1" operator="lessThan" stopIfTrue="1">
      <formula>0</formula>
    </cfRule>
  </conditionalFormatting>
  <conditionalFormatting sqref="X5:Z5 X6:Y12 X15:Z30 X13:Z13">
    <cfRule type="cellIs" priority="90" dxfId="96" operator="lessThan" stopIfTrue="1">
      <formula>0</formula>
    </cfRule>
  </conditionalFormatting>
  <conditionalFormatting sqref="N7:N21">
    <cfRule type="cellIs" priority="60" dxfId="0" operator="greaterThanOrEqual" stopIfTrue="1">
      <formula>0</formula>
    </cfRule>
    <cfRule type="cellIs" priority="61" dxfId="1" operator="lessThan" stopIfTrue="1">
      <formula>0</formula>
    </cfRule>
  </conditionalFormatting>
  <conditionalFormatting sqref="N27:N42">
    <cfRule type="cellIs" priority="58" dxfId="0" operator="greaterThanOrEqual" stopIfTrue="1">
      <formula>0</formula>
    </cfRule>
    <cfRule type="cellIs" priority="59" dxfId="1" operator="lessThan" stopIfTrue="1">
      <formula>0</formula>
    </cfRule>
  </conditionalFormatting>
  <conditionalFormatting sqref="N43">
    <cfRule type="cellIs" priority="56" dxfId="0" operator="greaterThanOrEqual" stopIfTrue="1">
      <formula>0</formula>
    </cfRule>
    <cfRule type="cellIs" priority="57" dxfId="1" operator="lessThan" stopIfTrue="1">
      <formula>0</formula>
    </cfRule>
  </conditionalFormatting>
  <conditionalFormatting sqref="N48:N63">
    <cfRule type="cellIs" priority="54" dxfId="0" operator="greaterThanOrEqual" stopIfTrue="1">
      <formula>0</formula>
    </cfRule>
    <cfRule type="cellIs" priority="55" dxfId="1" operator="lessThan" stopIfTrue="1">
      <formula>0</formula>
    </cfRule>
  </conditionalFormatting>
  <conditionalFormatting sqref="N69:N84">
    <cfRule type="cellIs" priority="52" dxfId="0" operator="greaterThanOrEqual" stopIfTrue="1">
      <formula>0</formula>
    </cfRule>
    <cfRule type="cellIs" priority="53" dxfId="1" operator="lessThan" stopIfTrue="1">
      <formula>0</formula>
    </cfRule>
  </conditionalFormatting>
  <conditionalFormatting sqref="N90:N105">
    <cfRule type="cellIs" priority="50" dxfId="0" operator="greaterThanOrEqual" stopIfTrue="1">
      <formula>0</formula>
    </cfRule>
    <cfRule type="cellIs" priority="51" dxfId="1" operator="lessThan" stopIfTrue="1">
      <formula>0</formula>
    </cfRule>
  </conditionalFormatting>
  <conditionalFormatting sqref="N111:N126">
    <cfRule type="cellIs" priority="48" dxfId="0" operator="greaterThanOrEqual" stopIfTrue="1">
      <formula>0</formula>
    </cfRule>
    <cfRule type="cellIs" priority="49" dxfId="1" operator="lessThan" stopIfTrue="1">
      <formula>0</formula>
    </cfRule>
  </conditionalFormatting>
  <conditionalFormatting sqref="N132:N147">
    <cfRule type="cellIs" priority="46" dxfId="0" operator="greaterThanOrEqual" stopIfTrue="1">
      <formula>0</formula>
    </cfRule>
    <cfRule type="cellIs" priority="47" dxfId="1" operator="lessThan" stopIfTrue="1">
      <formula>0</formula>
    </cfRule>
  </conditionalFormatting>
  <conditionalFormatting sqref="N153:N168">
    <cfRule type="cellIs" priority="44" dxfId="0" operator="greaterThanOrEqual" stopIfTrue="1">
      <formula>0</formula>
    </cfRule>
    <cfRule type="cellIs" priority="45" dxfId="1" operator="lessThan" stopIfTrue="1">
      <formula>0</formula>
    </cfRule>
  </conditionalFormatting>
  <conditionalFormatting sqref="N64">
    <cfRule type="cellIs" priority="40" dxfId="0" operator="greaterThanOrEqual" stopIfTrue="1">
      <formula>0</formula>
    </cfRule>
    <cfRule type="cellIs" priority="41" dxfId="1" operator="lessThan" stopIfTrue="1">
      <formula>0</formula>
    </cfRule>
  </conditionalFormatting>
  <conditionalFormatting sqref="N85">
    <cfRule type="cellIs" priority="38" dxfId="0" operator="greaterThanOrEqual" stopIfTrue="1">
      <formula>0</formula>
    </cfRule>
    <cfRule type="cellIs" priority="39" dxfId="1" operator="lessThan" stopIfTrue="1">
      <formula>0</formula>
    </cfRule>
  </conditionalFormatting>
  <conditionalFormatting sqref="N106">
    <cfRule type="cellIs" priority="36" dxfId="0" operator="greaterThanOrEqual" stopIfTrue="1">
      <formula>0</formula>
    </cfRule>
    <cfRule type="cellIs" priority="37" dxfId="1" operator="lessThan" stopIfTrue="1">
      <formula>0</formula>
    </cfRule>
  </conditionalFormatting>
  <conditionalFormatting sqref="N127">
    <cfRule type="cellIs" priority="34" dxfId="0" operator="greaterThanOrEqual" stopIfTrue="1">
      <formula>0</formula>
    </cfRule>
    <cfRule type="cellIs" priority="35" dxfId="1" operator="lessThan" stopIfTrue="1">
      <formula>0</formula>
    </cfRule>
  </conditionalFormatting>
  <conditionalFormatting sqref="N148">
    <cfRule type="cellIs" priority="32" dxfId="0" operator="greaterThanOrEqual" stopIfTrue="1">
      <formula>0</formula>
    </cfRule>
    <cfRule type="cellIs" priority="33" dxfId="1" operator="lessThan" stopIfTrue="1">
      <formula>0</formula>
    </cfRule>
  </conditionalFormatting>
  <conditionalFormatting sqref="N169">
    <cfRule type="cellIs" priority="30" dxfId="0" operator="greaterThanOrEqual" stopIfTrue="1">
      <formula>0</formula>
    </cfRule>
    <cfRule type="cellIs" priority="31" dxfId="1" operator="lessThan" stopIfTrue="1">
      <formula>0</formula>
    </cfRule>
  </conditionalFormatting>
  <conditionalFormatting sqref="Z6:Z12">
    <cfRule type="cellIs" priority="25" dxfId="96" operator="lessThan" stopIfTrue="1">
      <formula>0</formula>
    </cfRule>
  </conditionalFormatting>
  <conditionalFormatting sqref="D153:D168">
    <cfRule type="cellIs" priority="1" dxfId="1" operator="greaterThan" stopIfTrue="1">
      <formula>Sheet1!#REF!</formula>
    </cfRule>
    <cfRule type="cellIs" priority="2" dxfId="1" operator="lessThan" stopIfTrue="1">
      <formula>Sheet1!#REF!</formula>
    </cfRule>
    <cfRule type="cellIs" priority="3" dxfId="0" operator="between" stopIfTrue="1">
      <formula>Sheet1!#REF!</formula>
      <formula>Sheet1!#REF!</formula>
    </cfRule>
  </conditionalFormatting>
  <conditionalFormatting sqref="D6:D21">
    <cfRule type="cellIs" priority="22" dxfId="1" operator="greaterThan" stopIfTrue="1">
      <formula>Sheet1!#REF!</formula>
    </cfRule>
    <cfRule type="cellIs" priority="23" dxfId="1" operator="lessThan" stopIfTrue="1">
      <formula>Sheet1!#REF!</formula>
    </cfRule>
    <cfRule type="cellIs" priority="24" dxfId="0" operator="between" stopIfTrue="1">
      <formula>Sheet1!#REF!</formula>
      <formula>Sheet1!#REF!</formula>
    </cfRule>
  </conditionalFormatting>
  <conditionalFormatting sqref="D27:D42">
    <cfRule type="cellIs" priority="19" dxfId="1" operator="greaterThan" stopIfTrue="1">
      <formula>Sheet1!#REF!</formula>
    </cfRule>
    <cfRule type="cellIs" priority="20" dxfId="1" operator="lessThan" stopIfTrue="1">
      <formula>Sheet1!#REF!</formula>
    </cfRule>
    <cfRule type="cellIs" priority="21" dxfId="0" operator="between" stopIfTrue="1">
      <formula>Sheet1!#REF!</formula>
      <formula>Sheet1!#REF!</formula>
    </cfRule>
  </conditionalFormatting>
  <conditionalFormatting sqref="D48:D63">
    <cfRule type="cellIs" priority="16" dxfId="1" operator="greaterThan" stopIfTrue="1">
      <formula>Sheet1!#REF!</formula>
    </cfRule>
    <cfRule type="cellIs" priority="17" dxfId="1" operator="lessThan" stopIfTrue="1">
      <formula>Sheet1!#REF!</formula>
    </cfRule>
    <cfRule type="cellIs" priority="18" dxfId="0" operator="between" stopIfTrue="1">
      <formula>Sheet1!#REF!</formula>
      <formula>Sheet1!#REF!</formula>
    </cfRule>
  </conditionalFormatting>
  <conditionalFormatting sqref="D69:D84">
    <cfRule type="cellIs" priority="13" dxfId="1" operator="greaterThan" stopIfTrue="1">
      <formula>Sheet1!#REF!</formula>
    </cfRule>
    <cfRule type="cellIs" priority="14" dxfId="1" operator="lessThan" stopIfTrue="1">
      <formula>Sheet1!#REF!</formula>
    </cfRule>
    <cfRule type="cellIs" priority="15" dxfId="0" operator="between" stopIfTrue="1">
      <formula>Sheet1!#REF!</formula>
      <formula>Sheet1!#REF!</formula>
    </cfRule>
  </conditionalFormatting>
  <conditionalFormatting sqref="D90:D105">
    <cfRule type="cellIs" priority="10" dxfId="1" operator="greaterThan" stopIfTrue="1">
      <formula>Sheet1!#REF!</formula>
    </cfRule>
    <cfRule type="cellIs" priority="11" dxfId="1" operator="lessThan" stopIfTrue="1">
      <formula>Sheet1!#REF!</formula>
    </cfRule>
    <cfRule type="cellIs" priority="12" dxfId="0" operator="between" stopIfTrue="1">
      <formula>Sheet1!#REF!</formula>
      <formula>Sheet1!#REF!</formula>
    </cfRule>
  </conditionalFormatting>
  <conditionalFormatting sqref="D111:D126">
    <cfRule type="cellIs" priority="7" dxfId="1" operator="greaterThan" stopIfTrue="1">
      <formula>Sheet1!#REF!</formula>
    </cfRule>
    <cfRule type="cellIs" priority="8" dxfId="1" operator="lessThan" stopIfTrue="1">
      <formula>Sheet1!#REF!</formula>
    </cfRule>
    <cfRule type="cellIs" priority="9" dxfId="0" operator="between" stopIfTrue="1">
      <formula>Sheet1!#REF!</formula>
      <formula>Sheet1!#REF!</formula>
    </cfRule>
  </conditionalFormatting>
  <conditionalFormatting sqref="D132:D147">
    <cfRule type="cellIs" priority="4" dxfId="1" operator="greaterThan" stopIfTrue="1">
      <formula>Sheet1!#REF!</formula>
    </cfRule>
    <cfRule type="cellIs" priority="5" dxfId="1" operator="lessThan" stopIfTrue="1">
      <formula>Sheet1!#REF!</formula>
    </cfRule>
    <cfRule type="cellIs" priority="6" dxfId="0" operator="between" stopIfTrue="1">
      <formula>Sheet1!#REF!</formula>
      <formula>Sheet1!#REF!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</dc:creator>
  <cp:keywords/>
  <dc:description/>
  <cp:lastModifiedBy>User</cp:lastModifiedBy>
  <dcterms:created xsi:type="dcterms:W3CDTF">2017-06-07T05:41:48Z</dcterms:created>
  <dcterms:modified xsi:type="dcterms:W3CDTF">2018-01-06T06:50:52Z</dcterms:modified>
  <cp:category/>
  <cp:version/>
  <cp:contentType/>
  <cp:contentStatus/>
</cp:coreProperties>
</file>